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V:\TROCAS\Para Gilberto\"/>
    </mc:Choice>
  </mc:AlternateContent>
  <xr:revisionPtr revIDLastSave="0" documentId="8_{B4F9CC3E-79B2-48FA-9749-23B61F91A3FC}" xr6:coauthVersionLast="47" xr6:coauthVersionMax="47" xr10:uidLastSave="{00000000-0000-0000-0000-000000000000}"/>
  <bookViews>
    <workbookView xWindow="-120" yWindow="-120" windowWidth="29040" windowHeight="15840" xr2:uid="{53D4D3D1-48DC-4F91-8096-658512AA8495}"/>
  </bookViews>
  <sheets>
    <sheet name="Planilha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</externalReferenc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24" i="1" l="1"/>
  <c r="K123" i="1"/>
  <c r="C123" i="1"/>
  <c r="B123" i="1"/>
  <c r="A123" i="1"/>
  <c r="B122" i="1"/>
  <c r="A122" i="1"/>
  <c r="G121" i="1"/>
  <c r="B121" i="1"/>
  <c r="A121" i="1"/>
  <c r="A120" i="1"/>
  <c r="A119" i="1"/>
  <c r="I118" i="1"/>
  <c r="B118" i="1"/>
  <c r="A118" i="1"/>
  <c r="G117" i="1"/>
  <c r="A117" i="1"/>
  <c r="A116" i="1"/>
  <c r="A115" i="1"/>
  <c r="M114" i="1"/>
  <c r="L114" i="1"/>
  <c r="K114" i="1"/>
  <c r="J114" i="1"/>
  <c r="I114" i="1"/>
  <c r="H114" i="1"/>
  <c r="G114" i="1"/>
  <c r="F114" i="1"/>
  <c r="N114" i="1" s="1"/>
  <c r="E114" i="1"/>
  <c r="D114" i="1"/>
  <c r="C114" i="1"/>
  <c r="B114" i="1"/>
  <c r="A114" i="1"/>
  <c r="A113" i="1"/>
  <c r="M112" i="1"/>
  <c r="L112" i="1"/>
  <c r="K112" i="1"/>
  <c r="J112" i="1"/>
  <c r="I112" i="1"/>
  <c r="H112" i="1"/>
  <c r="G112" i="1"/>
  <c r="F112" i="1"/>
  <c r="E112" i="1"/>
  <c r="D112" i="1"/>
  <c r="C112" i="1"/>
  <c r="A112" i="1"/>
  <c r="A111" i="1"/>
  <c r="M110" i="1"/>
  <c r="L110" i="1"/>
  <c r="K110" i="1"/>
  <c r="J110" i="1"/>
  <c r="I110" i="1"/>
  <c r="H110" i="1"/>
  <c r="G110" i="1"/>
  <c r="F110" i="1"/>
  <c r="E110" i="1"/>
  <c r="D110" i="1"/>
  <c r="C110" i="1"/>
  <c r="B110" i="1"/>
  <c r="A110" i="1"/>
  <c r="A109" i="1"/>
  <c r="M108" i="1"/>
  <c r="L108" i="1"/>
  <c r="K108" i="1"/>
  <c r="J108" i="1"/>
  <c r="I108" i="1"/>
  <c r="H108" i="1"/>
  <c r="G108" i="1"/>
  <c r="F108" i="1"/>
  <c r="E108" i="1"/>
  <c r="D108" i="1"/>
  <c r="C108" i="1"/>
  <c r="B108" i="1"/>
  <c r="A108" i="1"/>
  <c r="A107" i="1"/>
  <c r="M106" i="1"/>
  <c r="L106" i="1"/>
  <c r="K106" i="1"/>
  <c r="J106" i="1"/>
  <c r="I106" i="1"/>
  <c r="H106" i="1"/>
  <c r="G106" i="1"/>
  <c r="F106" i="1"/>
  <c r="E106" i="1"/>
  <c r="D106" i="1"/>
  <c r="C106" i="1"/>
  <c r="B106" i="1"/>
  <c r="A106" i="1"/>
  <c r="A105" i="1"/>
  <c r="A104" i="1"/>
  <c r="M103" i="1"/>
  <c r="L103" i="1"/>
  <c r="K103" i="1"/>
  <c r="J103" i="1"/>
  <c r="I103" i="1"/>
  <c r="H103" i="1"/>
  <c r="G103" i="1"/>
  <c r="F103" i="1"/>
  <c r="N103" i="1" s="1"/>
  <c r="E103" i="1"/>
  <c r="D103" i="1"/>
  <c r="C103" i="1"/>
  <c r="A103" i="1"/>
  <c r="A102" i="1"/>
  <c r="A101" i="1"/>
  <c r="A100" i="1"/>
  <c r="A99" i="1"/>
  <c r="A98" i="1"/>
  <c r="A97" i="1"/>
  <c r="A96" i="1"/>
  <c r="A95" i="1"/>
  <c r="B94" i="1"/>
  <c r="A94" i="1"/>
  <c r="A93" i="1"/>
  <c r="A92" i="1"/>
  <c r="A91" i="1"/>
  <c r="B90" i="1"/>
  <c r="A90" i="1"/>
  <c r="B89" i="1"/>
  <c r="A89" i="1"/>
  <c r="A88" i="1"/>
  <c r="N86" i="1"/>
  <c r="M82" i="1"/>
  <c r="L82" i="1"/>
  <c r="K82" i="1"/>
  <c r="J82" i="1"/>
  <c r="I82" i="1"/>
  <c r="H82" i="1"/>
  <c r="G82" i="1"/>
  <c r="F82" i="1"/>
  <c r="E82" i="1"/>
  <c r="D82" i="1"/>
  <c r="C82" i="1"/>
  <c r="B82" i="1"/>
  <c r="A82" i="1"/>
  <c r="M81" i="1"/>
  <c r="L81" i="1"/>
  <c r="K81" i="1"/>
  <c r="J81" i="1"/>
  <c r="I81" i="1"/>
  <c r="H81" i="1"/>
  <c r="G81" i="1"/>
  <c r="F81" i="1"/>
  <c r="N81" i="1" s="1"/>
  <c r="E81" i="1"/>
  <c r="D81" i="1"/>
  <c r="C81" i="1"/>
  <c r="A81" i="1"/>
  <c r="M80" i="1"/>
  <c r="L80" i="1"/>
  <c r="K80" i="1"/>
  <c r="J80" i="1"/>
  <c r="I80" i="1"/>
  <c r="H80" i="1"/>
  <c r="G80" i="1"/>
  <c r="F80" i="1"/>
  <c r="E80" i="1"/>
  <c r="D80" i="1"/>
  <c r="C80" i="1"/>
  <c r="A80" i="1"/>
  <c r="M79" i="1"/>
  <c r="L79" i="1"/>
  <c r="K79" i="1"/>
  <c r="J79" i="1"/>
  <c r="I79" i="1"/>
  <c r="H79" i="1"/>
  <c r="G79" i="1"/>
  <c r="F79" i="1"/>
  <c r="E79" i="1"/>
  <c r="D79" i="1"/>
  <c r="C79" i="1"/>
  <c r="A79" i="1"/>
  <c r="M78" i="1"/>
  <c r="L78" i="1"/>
  <c r="K78" i="1"/>
  <c r="J78" i="1"/>
  <c r="I78" i="1"/>
  <c r="H78" i="1"/>
  <c r="G78" i="1"/>
  <c r="F78" i="1"/>
  <c r="E78" i="1"/>
  <c r="E120" i="1" s="1"/>
  <c r="D78" i="1"/>
  <c r="C78" i="1"/>
  <c r="A78" i="1"/>
  <c r="M77" i="1"/>
  <c r="L77" i="1"/>
  <c r="K77" i="1"/>
  <c r="J77" i="1"/>
  <c r="I77" i="1"/>
  <c r="H77" i="1"/>
  <c r="G77" i="1"/>
  <c r="F77" i="1"/>
  <c r="E77" i="1"/>
  <c r="D77" i="1"/>
  <c r="C77" i="1"/>
  <c r="B77" i="1"/>
  <c r="N77" i="1" s="1"/>
  <c r="A77" i="1"/>
  <c r="M76" i="1"/>
  <c r="L76" i="1"/>
  <c r="K76" i="1"/>
  <c r="J76" i="1"/>
  <c r="I76" i="1"/>
  <c r="H76" i="1"/>
  <c r="G76" i="1"/>
  <c r="F76" i="1"/>
  <c r="N76" i="1" s="1"/>
  <c r="E76" i="1"/>
  <c r="D76" i="1"/>
  <c r="C76" i="1"/>
  <c r="A76" i="1"/>
  <c r="M75" i="1"/>
  <c r="L75" i="1"/>
  <c r="K75" i="1"/>
  <c r="J75" i="1"/>
  <c r="I75" i="1"/>
  <c r="H75" i="1"/>
  <c r="G75" i="1"/>
  <c r="G73" i="1" s="1"/>
  <c r="F75" i="1"/>
  <c r="E75" i="1"/>
  <c r="D75" i="1"/>
  <c r="C75" i="1"/>
  <c r="B75" i="1"/>
  <c r="N75" i="1" s="1"/>
  <c r="A75" i="1"/>
  <c r="M74" i="1"/>
  <c r="L74" i="1"/>
  <c r="K74" i="1"/>
  <c r="J74" i="1"/>
  <c r="I74" i="1"/>
  <c r="H74" i="1"/>
  <c r="G74" i="1"/>
  <c r="F74" i="1"/>
  <c r="E74" i="1"/>
  <c r="D74" i="1"/>
  <c r="C74" i="1"/>
  <c r="B74" i="1"/>
  <c r="A74" i="1"/>
  <c r="K73" i="1"/>
  <c r="I73" i="1"/>
  <c r="I55" i="1" s="1"/>
  <c r="A73" i="1"/>
  <c r="M72" i="1"/>
  <c r="L72" i="1"/>
  <c r="K72" i="1"/>
  <c r="J72" i="1"/>
  <c r="I72" i="1"/>
  <c r="H72" i="1"/>
  <c r="G72" i="1"/>
  <c r="F72" i="1"/>
  <c r="E72" i="1"/>
  <c r="D72" i="1"/>
  <c r="C72" i="1"/>
  <c r="B72" i="1"/>
  <c r="A72" i="1"/>
  <c r="M71" i="1"/>
  <c r="L71" i="1"/>
  <c r="K71" i="1"/>
  <c r="J71" i="1"/>
  <c r="I71" i="1"/>
  <c r="H71" i="1"/>
  <c r="G71" i="1"/>
  <c r="F71" i="1"/>
  <c r="E71" i="1"/>
  <c r="D71" i="1"/>
  <c r="C71" i="1"/>
  <c r="B71" i="1"/>
  <c r="A71" i="1"/>
  <c r="M70" i="1"/>
  <c r="L70" i="1"/>
  <c r="K70" i="1"/>
  <c r="J70" i="1"/>
  <c r="I70" i="1"/>
  <c r="H70" i="1"/>
  <c r="G70" i="1"/>
  <c r="F70" i="1"/>
  <c r="E70" i="1"/>
  <c r="D70" i="1"/>
  <c r="C70" i="1"/>
  <c r="B70" i="1"/>
  <c r="N70" i="1" s="1"/>
  <c r="A70" i="1"/>
  <c r="M69" i="1"/>
  <c r="L69" i="1"/>
  <c r="K69" i="1"/>
  <c r="J69" i="1"/>
  <c r="I69" i="1"/>
  <c r="H69" i="1"/>
  <c r="G69" i="1"/>
  <c r="F69" i="1"/>
  <c r="E69" i="1"/>
  <c r="D69" i="1"/>
  <c r="C69" i="1"/>
  <c r="B69" i="1"/>
  <c r="A69" i="1"/>
  <c r="M68" i="1"/>
  <c r="L68" i="1"/>
  <c r="K68" i="1"/>
  <c r="J68" i="1"/>
  <c r="I68" i="1"/>
  <c r="H68" i="1"/>
  <c r="G68" i="1"/>
  <c r="F68" i="1"/>
  <c r="E68" i="1"/>
  <c r="N68" i="1" s="1"/>
  <c r="D68" i="1"/>
  <c r="C68" i="1"/>
  <c r="B68" i="1"/>
  <c r="A68" i="1"/>
  <c r="M67" i="1"/>
  <c r="L67" i="1"/>
  <c r="K67" i="1"/>
  <c r="J67" i="1"/>
  <c r="I67" i="1"/>
  <c r="H67" i="1"/>
  <c r="G67" i="1"/>
  <c r="F67" i="1"/>
  <c r="E67" i="1"/>
  <c r="D67" i="1"/>
  <c r="C67" i="1"/>
  <c r="B67" i="1"/>
  <c r="N67" i="1" s="1"/>
  <c r="A67" i="1"/>
  <c r="M66" i="1"/>
  <c r="L66" i="1"/>
  <c r="K66" i="1"/>
  <c r="J66" i="1"/>
  <c r="I66" i="1"/>
  <c r="H66" i="1"/>
  <c r="G66" i="1"/>
  <c r="F66" i="1"/>
  <c r="E66" i="1"/>
  <c r="D66" i="1"/>
  <c r="C66" i="1"/>
  <c r="B66" i="1"/>
  <c r="A66" i="1"/>
  <c r="M65" i="1"/>
  <c r="L65" i="1"/>
  <c r="K65" i="1"/>
  <c r="J65" i="1"/>
  <c r="I65" i="1"/>
  <c r="H65" i="1"/>
  <c r="G65" i="1"/>
  <c r="F65" i="1"/>
  <c r="E65" i="1"/>
  <c r="D65" i="1"/>
  <c r="C65" i="1"/>
  <c r="B65" i="1"/>
  <c r="A65" i="1"/>
  <c r="M64" i="1"/>
  <c r="L64" i="1"/>
  <c r="K64" i="1"/>
  <c r="J64" i="1"/>
  <c r="I64" i="1"/>
  <c r="H64" i="1"/>
  <c r="G64" i="1"/>
  <c r="F64" i="1"/>
  <c r="E64" i="1"/>
  <c r="D64" i="1"/>
  <c r="C64" i="1"/>
  <c r="B64" i="1"/>
  <c r="N64" i="1" s="1"/>
  <c r="A64" i="1"/>
  <c r="M63" i="1"/>
  <c r="M60" i="1" s="1"/>
  <c r="L63" i="1"/>
  <c r="K63" i="1"/>
  <c r="J63" i="1"/>
  <c r="I63" i="1"/>
  <c r="H63" i="1"/>
  <c r="H60" i="1" s="1"/>
  <c r="G63" i="1"/>
  <c r="G60" i="1" s="1"/>
  <c r="F63" i="1"/>
  <c r="E63" i="1"/>
  <c r="D63" i="1"/>
  <c r="C63" i="1"/>
  <c r="B63" i="1"/>
  <c r="A63" i="1"/>
  <c r="M62" i="1"/>
  <c r="M59" i="1" s="1"/>
  <c r="L62" i="1"/>
  <c r="K62" i="1"/>
  <c r="J62" i="1"/>
  <c r="I62" i="1"/>
  <c r="H62" i="1"/>
  <c r="G62" i="1"/>
  <c r="F62" i="1"/>
  <c r="E62" i="1"/>
  <c r="N62" i="1" s="1"/>
  <c r="D62" i="1"/>
  <c r="C62" i="1"/>
  <c r="B62" i="1"/>
  <c r="A62" i="1"/>
  <c r="M61" i="1"/>
  <c r="L61" i="1"/>
  <c r="K61" i="1"/>
  <c r="J61" i="1"/>
  <c r="I61" i="1"/>
  <c r="H61" i="1"/>
  <c r="G61" i="1"/>
  <c r="F61" i="1"/>
  <c r="E61" i="1"/>
  <c r="D61" i="1"/>
  <c r="C61" i="1"/>
  <c r="B61" i="1"/>
  <c r="N61" i="1" s="1"/>
  <c r="A61" i="1"/>
  <c r="J60" i="1"/>
  <c r="I60" i="1"/>
  <c r="F60" i="1"/>
  <c r="E60" i="1"/>
  <c r="B60" i="1"/>
  <c r="A60" i="1"/>
  <c r="E59" i="1"/>
  <c r="C59" i="1"/>
  <c r="A59" i="1"/>
  <c r="M58" i="1"/>
  <c r="L58" i="1"/>
  <c r="K58" i="1"/>
  <c r="J58" i="1"/>
  <c r="I58" i="1"/>
  <c r="H58" i="1"/>
  <c r="G58" i="1"/>
  <c r="F58" i="1"/>
  <c r="E58" i="1"/>
  <c r="D58" i="1"/>
  <c r="C58" i="1"/>
  <c r="B58" i="1"/>
  <c r="N58" i="1" s="1"/>
  <c r="A58" i="1"/>
  <c r="M57" i="1"/>
  <c r="L57" i="1"/>
  <c r="L59" i="1" s="1"/>
  <c r="K57" i="1"/>
  <c r="K59" i="1" s="1"/>
  <c r="J57" i="1"/>
  <c r="J59" i="1" s="1"/>
  <c r="I57" i="1"/>
  <c r="H57" i="1"/>
  <c r="H59" i="1" s="1"/>
  <c r="G57" i="1"/>
  <c r="G46" i="1" s="1"/>
  <c r="F57" i="1"/>
  <c r="E57" i="1"/>
  <c r="D57" i="1"/>
  <c r="D59" i="1" s="1"/>
  <c r="C57" i="1"/>
  <c r="C46" i="1" s="1"/>
  <c r="B57" i="1"/>
  <c r="B59" i="1" s="1"/>
  <c r="A57" i="1"/>
  <c r="G56" i="1"/>
  <c r="A56" i="1"/>
  <c r="K55" i="1"/>
  <c r="A55" i="1"/>
  <c r="A54" i="1"/>
  <c r="A53" i="1"/>
  <c r="M52" i="1"/>
  <c r="L52" i="1"/>
  <c r="K52" i="1"/>
  <c r="J52" i="1"/>
  <c r="I52" i="1"/>
  <c r="H52" i="1"/>
  <c r="G52" i="1"/>
  <c r="F52" i="1"/>
  <c r="E52" i="1"/>
  <c r="N52" i="1" s="1"/>
  <c r="D52" i="1"/>
  <c r="C52" i="1"/>
  <c r="A52" i="1"/>
  <c r="A51" i="1"/>
  <c r="M50" i="1"/>
  <c r="M51" i="1" s="1"/>
  <c r="J50" i="1"/>
  <c r="J51" i="1" s="1"/>
  <c r="E50" i="1"/>
  <c r="E51" i="1" s="1"/>
  <c r="D50" i="1"/>
  <c r="A50" i="1"/>
  <c r="K49" i="1"/>
  <c r="J49" i="1"/>
  <c r="G49" i="1"/>
  <c r="F49" i="1"/>
  <c r="F50" i="1" s="1"/>
  <c r="F51" i="1" s="1"/>
  <c r="D49" i="1"/>
  <c r="B49" i="1"/>
  <c r="A49" i="1"/>
  <c r="M48" i="1"/>
  <c r="M49" i="1" s="1"/>
  <c r="L48" i="1"/>
  <c r="L49" i="1" s="1"/>
  <c r="K48" i="1"/>
  <c r="K50" i="1" s="1"/>
  <c r="I48" i="1"/>
  <c r="I49" i="1" s="1"/>
  <c r="H48" i="1"/>
  <c r="G48" i="1"/>
  <c r="F48" i="1"/>
  <c r="E48" i="1"/>
  <c r="E49" i="1" s="1"/>
  <c r="D48" i="1"/>
  <c r="C48" i="1"/>
  <c r="C49" i="1" s="1"/>
  <c r="A48" i="1"/>
  <c r="M47" i="1"/>
  <c r="M53" i="1" s="1"/>
  <c r="M54" i="1" s="1"/>
  <c r="L47" i="1"/>
  <c r="L46" i="1" s="1"/>
  <c r="K47" i="1"/>
  <c r="J47" i="1"/>
  <c r="J46" i="1" s="1"/>
  <c r="I47" i="1"/>
  <c r="H47" i="1"/>
  <c r="H46" i="1" s="1"/>
  <c r="G47" i="1"/>
  <c r="F47" i="1"/>
  <c r="E47" i="1"/>
  <c r="D47" i="1"/>
  <c r="D46" i="1" s="1"/>
  <c r="C47" i="1"/>
  <c r="A47" i="1"/>
  <c r="M46" i="1"/>
  <c r="K46" i="1"/>
  <c r="I46" i="1"/>
  <c r="F46" i="1"/>
  <c r="B46" i="1"/>
  <c r="A46" i="1"/>
  <c r="N44" i="1"/>
  <c r="M40" i="1"/>
  <c r="M124" i="1" s="1"/>
  <c r="L40" i="1"/>
  <c r="L124" i="1" s="1"/>
  <c r="K40" i="1"/>
  <c r="K124" i="1" s="1"/>
  <c r="J40" i="1"/>
  <c r="J124" i="1" s="1"/>
  <c r="I40" i="1"/>
  <c r="I124" i="1" s="1"/>
  <c r="H40" i="1"/>
  <c r="H124" i="1" s="1"/>
  <c r="G40" i="1"/>
  <c r="G124" i="1" s="1"/>
  <c r="F40" i="1"/>
  <c r="F124" i="1" s="1"/>
  <c r="E40" i="1"/>
  <c r="E124" i="1" s="1"/>
  <c r="D40" i="1"/>
  <c r="D124" i="1" s="1"/>
  <c r="C40" i="1"/>
  <c r="C124" i="1" s="1"/>
  <c r="M39" i="1"/>
  <c r="M123" i="1" s="1"/>
  <c r="L39" i="1"/>
  <c r="L123" i="1" s="1"/>
  <c r="K39" i="1"/>
  <c r="J39" i="1"/>
  <c r="J123" i="1" s="1"/>
  <c r="I39" i="1"/>
  <c r="I123" i="1" s="1"/>
  <c r="H39" i="1"/>
  <c r="H123" i="1" s="1"/>
  <c r="G39" i="1"/>
  <c r="G123" i="1" s="1"/>
  <c r="F39" i="1"/>
  <c r="F123" i="1" s="1"/>
  <c r="E39" i="1"/>
  <c r="E123" i="1" s="1"/>
  <c r="D39" i="1"/>
  <c r="D123" i="1" s="1"/>
  <c r="C39" i="1"/>
  <c r="M38" i="1"/>
  <c r="L38" i="1"/>
  <c r="L122" i="1" s="1"/>
  <c r="K38" i="1"/>
  <c r="K122" i="1" s="1"/>
  <c r="J38" i="1"/>
  <c r="J122" i="1" s="1"/>
  <c r="I38" i="1"/>
  <c r="I122" i="1" s="1"/>
  <c r="H38" i="1"/>
  <c r="H122" i="1" s="1"/>
  <c r="G38" i="1"/>
  <c r="G122" i="1" s="1"/>
  <c r="F38" i="1"/>
  <c r="F122" i="1" s="1"/>
  <c r="E38" i="1"/>
  <c r="D38" i="1"/>
  <c r="D122" i="1" s="1"/>
  <c r="C38" i="1"/>
  <c r="C122" i="1" s="1"/>
  <c r="M37" i="1"/>
  <c r="M121" i="1" s="1"/>
  <c r="L37" i="1"/>
  <c r="L121" i="1" s="1"/>
  <c r="K37" i="1"/>
  <c r="K121" i="1" s="1"/>
  <c r="J37" i="1"/>
  <c r="J121" i="1" s="1"/>
  <c r="I37" i="1"/>
  <c r="I121" i="1" s="1"/>
  <c r="H37" i="1"/>
  <c r="H121" i="1" s="1"/>
  <c r="G37" i="1"/>
  <c r="F37" i="1"/>
  <c r="F121" i="1" s="1"/>
  <c r="E37" i="1"/>
  <c r="E121" i="1" s="1"/>
  <c r="D37" i="1"/>
  <c r="D121" i="1" s="1"/>
  <c r="C37" i="1"/>
  <c r="C121" i="1" s="1"/>
  <c r="M36" i="1"/>
  <c r="M120" i="1" s="1"/>
  <c r="L36" i="1"/>
  <c r="L120" i="1" s="1"/>
  <c r="K36" i="1"/>
  <c r="K120" i="1" s="1"/>
  <c r="J36" i="1"/>
  <c r="J120" i="1" s="1"/>
  <c r="I36" i="1"/>
  <c r="I120" i="1" s="1"/>
  <c r="H36" i="1"/>
  <c r="H120" i="1" s="1"/>
  <c r="G36" i="1"/>
  <c r="G120" i="1" s="1"/>
  <c r="F36" i="1"/>
  <c r="F120" i="1" s="1"/>
  <c r="E36" i="1"/>
  <c r="D36" i="1"/>
  <c r="D120" i="1" s="1"/>
  <c r="C36" i="1"/>
  <c r="C120" i="1" s="1"/>
  <c r="B36" i="1"/>
  <c r="B120" i="1" s="1"/>
  <c r="M35" i="1"/>
  <c r="M119" i="1" s="1"/>
  <c r="L35" i="1"/>
  <c r="L119" i="1" s="1"/>
  <c r="K35" i="1"/>
  <c r="K119" i="1" s="1"/>
  <c r="J35" i="1"/>
  <c r="J119" i="1" s="1"/>
  <c r="I35" i="1"/>
  <c r="I119" i="1" s="1"/>
  <c r="H35" i="1"/>
  <c r="H119" i="1" s="1"/>
  <c r="G35" i="1"/>
  <c r="G119" i="1" s="1"/>
  <c r="F35" i="1"/>
  <c r="F119" i="1" s="1"/>
  <c r="E35" i="1"/>
  <c r="E119" i="1" s="1"/>
  <c r="D35" i="1"/>
  <c r="D119" i="1" s="1"/>
  <c r="C35" i="1"/>
  <c r="C119" i="1" s="1"/>
  <c r="B35" i="1"/>
  <c r="B119" i="1" s="1"/>
  <c r="M34" i="1"/>
  <c r="M118" i="1" s="1"/>
  <c r="L34" i="1"/>
  <c r="L118" i="1" s="1"/>
  <c r="K34" i="1"/>
  <c r="K118" i="1" s="1"/>
  <c r="J34" i="1"/>
  <c r="J118" i="1" s="1"/>
  <c r="I34" i="1"/>
  <c r="H34" i="1"/>
  <c r="H118" i="1" s="1"/>
  <c r="G34" i="1"/>
  <c r="G118" i="1" s="1"/>
  <c r="F34" i="1"/>
  <c r="F118" i="1" s="1"/>
  <c r="E34" i="1"/>
  <c r="E118" i="1" s="1"/>
  <c r="D34" i="1"/>
  <c r="D118" i="1" s="1"/>
  <c r="C34" i="1"/>
  <c r="C118" i="1" s="1"/>
  <c r="M33" i="1"/>
  <c r="M117" i="1" s="1"/>
  <c r="L33" i="1"/>
  <c r="L117" i="1" s="1"/>
  <c r="K33" i="1"/>
  <c r="K117" i="1" s="1"/>
  <c r="J33" i="1"/>
  <c r="J117" i="1" s="1"/>
  <c r="I33" i="1"/>
  <c r="I117" i="1" s="1"/>
  <c r="H33" i="1"/>
  <c r="H117" i="1" s="1"/>
  <c r="G33" i="1"/>
  <c r="F33" i="1"/>
  <c r="F117" i="1" s="1"/>
  <c r="E33" i="1"/>
  <c r="E117" i="1" s="1"/>
  <c r="D33" i="1"/>
  <c r="D117" i="1" s="1"/>
  <c r="C33" i="1"/>
  <c r="C117" i="1" s="1"/>
  <c r="B33" i="1"/>
  <c r="B117" i="1" s="1"/>
  <c r="M32" i="1"/>
  <c r="M116" i="1" s="1"/>
  <c r="L32" i="1"/>
  <c r="L116" i="1" s="1"/>
  <c r="K32" i="1"/>
  <c r="J32" i="1"/>
  <c r="J116" i="1" s="1"/>
  <c r="I32" i="1"/>
  <c r="I116" i="1" s="1"/>
  <c r="H32" i="1"/>
  <c r="H116" i="1" s="1"/>
  <c r="G32" i="1"/>
  <c r="F32" i="1"/>
  <c r="F116" i="1" s="1"/>
  <c r="E32" i="1"/>
  <c r="E116" i="1" s="1"/>
  <c r="D32" i="1"/>
  <c r="D116" i="1" s="1"/>
  <c r="C32" i="1"/>
  <c r="B32" i="1"/>
  <c r="B116" i="1" s="1"/>
  <c r="E31" i="1"/>
  <c r="E13" i="1" s="1"/>
  <c r="B31" i="1"/>
  <c r="M30" i="1"/>
  <c r="L30" i="1"/>
  <c r="K30" i="1"/>
  <c r="J30" i="1"/>
  <c r="I30" i="1"/>
  <c r="H30" i="1"/>
  <c r="G30" i="1"/>
  <c r="F30" i="1"/>
  <c r="E30" i="1"/>
  <c r="D30" i="1"/>
  <c r="C30" i="1"/>
  <c r="B30" i="1"/>
  <c r="N30" i="1" s="1"/>
  <c r="M29" i="1"/>
  <c r="L29" i="1"/>
  <c r="L113" i="1" s="1"/>
  <c r="K29" i="1"/>
  <c r="K113" i="1" s="1"/>
  <c r="J29" i="1"/>
  <c r="J113" i="1" s="1"/>
  <c r="I29" i="1"/>
  <c r="I113" i="1" s="1"/>
  <c r="H29" i="1"/>
  <c r="H113" i="1" s="1"/>
  <c r="G29" i="1"/>
  <c r="G113" i="1" s="1"/>
  <c r="F29" i="1"/>
  <c r="F113" i="1" s="1"/>
  <c r="E29" i="1"/>
  <c r="D29" i="1"/>
  <c r="D113" i="1" s="1"/>
  <c r="C29" i="1"/>
  <c r="C113" i="1" s="1"/>
  <c r="B29" i="1"/>
  <c r="B113" i="1" s="1"/>
  <c r="M28" i="1"/>
  <c r="L28" i="1"/>
  <c r="K28" i="1"/>
  <c r="J28" i="1"/>
  <c r="I28" i="1"/>
  <c r="H28" i="1"/>
  <c r="G28" i="1"/>
  <c r="F28" i="1"/>
  <c r="E28" i="1"/>
  <c r="D28" i="1"/>
  <c r="C28" i="1"/>
  <c r="B28" i="1"/>
  <c r="N28" i="1" s="1"/>
  <c r="M27" i="1"/>
  <c r="M111" i="1" s="1"/>
  <c r="L27" i="1"/>
  <c r="L111" i="1" s="1"/>
  <c r="K27" i="1"/>
  <c r="K111" i="1" s="1"/>
  <c r="J27" i="1"/>
  <c r="J111" i="1" s="1"/>
  <c r="I27" i="1"/>
  <c r="I111" i="1" s="1"/>
  <c r="H27" i="1"/>
  <c r="H111" i="1" s="1"/>
  <c r="G27" i="1"/>
  <c r="G111" i="1" s="1"/>
  <c r="F27" i="1"/>
  <c r="F111" i="1" s="1"/>
  <c r="E27" i="1"/>
  <c r="E111" i="1" s="1"/>
  <c r="D27" i="1"/>
  <c r="D111" i="1" s="1"/>
  <c r="C27" i="1"/>
  <c r="C111" i="1" s="1"/>
  <c r="B27" i="1"/>
  <c r="B111" i="1" s="1"/>
  <c r="N111" i="1" s="1"/>
  <c r="M26" i="1"/>
  <c r="L26" i="1"/>
  <c r="K26" i="1"/>
  <c r="J26" i="1"/>
  <c r="I26" i="1"/>
  <c r="H26" i="1"/>
  <c r="G26" i="1"/>
  <c r="F26" i="1"/>
  <c r="E26" i="1"/>
  <c r="D26" i="1"/>
  <c r="C26" i="1"/>
  <c r="B26" i="1"/>
  <c r="N26" i="1" s="1"/>
  <c r="M25" i="1"/>
  <c r="M109" i="1" s="1"/>
  <c r="L25" i="1"/>
  <c r="L109" i="1" s="1"/>
  <c r="K25" i="1"/>
  <c r="J25" i="1"/>
  <c r="J109" i="1" s="1"/>
  <c r="I25" i="1"/>
  <c r="I109" i="1" s="1"/>
  <c r="H25" i="1"/>
  <c r="H109" i="1" s="1"/>
  <c r="G25" i="1"/>
  <c r="G109" i="1" s="1"/>
  <c r="F25" i="1"/>
  <c r="F109" i="1" s="1"/>
  <c r="E25" i="1"/>
  <c r="E109" i="1" s="1"/>
  <c r="D25" i="1"/>
  <c r="D109" i="1" s="1"/>
  <c r="C25" i="1"/>
  <c r="B25" i="1"/>
  <c r="B109" i="1" s="1"/>
  <c r="N24" i="1"/>
  <c r="M24" i="1"/>
  <c r="L24" i="1"/>
  <c r="K24" i="1"/>
  <c r="J24" i="1"/>
  <c r="I24" i="1"/>
  <c r="H24" i="1"/>
  <c r="G24" i="1"/>
  <c r="F24" i="1"/>
  <c r="E24" i="1"/>
  <c r="D24" i="1"/>
  <c r="C24" i="1"/>
  <c r="B24" i="1"/>
  <c r="M23" i="1"/>
  <c r="M107" i="1" s="1"/>
  <c r="L23" i="1"/>
  <c r="K23" i="1"/>
  <c r="K107" i="1" s="1"/>
  <c r="J23" i="1"/>
  <c r="J107" i="1" s="1"/>
  <c r="I23" i="1"/>
  <c r="I107" i="1" s="1"/>
  <c r="H23" i="1"/>
  <c r="H107" i="1" s="1"/>
  <c r="G23" i="1"/>
  <c r="G107" i="1" s="1"/>
  <c r="F23" i="1"/>
  <c r="F107" i="1" s="1"/>
  <c r="E23" i="1"/>
  <c r="E107" i="1" s="1"/>
  <c r="D23" i="1"/>
  <c r="C23" i="1"/>
  <c r="C107" i="1" s="1"/>
  <c r="B23" i="1"/>
  <c r="B107" i="1" s="1"/>
  <c r="M22" i="1"/>
  <c r="L22" i="1"/>
  <c r="K22" i="1"/>
  <c r="J22" i="1"/>
  <c r="I22" i="1"/>
  <c r="H22" i="1"/>
  <c r="G22" i="1"/>
  <c r="F22" i="1"/>
  <c r="N22" i="1" s="1"/>
  <c r="E22" i="1"/>
  <c r="D22" i="1"/>
  <c r="C22" i="1"/>
  <c r="B22" i="1"/>
  <c r="M21" i="1"/>
  <c r="M105" i="1" s="1"/>
  <c r="L21" i="1"/>
  <c r="L105" i="1" s="1"/>
  <c r="K21" i="1"/>
  <c r="K105" i="1" s="1"/>
  <c r="J21" i="1"/>
  <c r="J105" i="1" s="1"/>
  <c r="I21" i="1"/>
  <c r="I105" i="1" s="1"/>
  <c r="H21" i="1"/>
  <c r="G21" i="1"/>
  <c r="F21" i="1"/>
  <c r="F105" i="1" s="1"/>
  <c r="E21" i="1"/>
  <c r="E105" i="1" s="1"/>
  <c r="D21" i="1"/>
  <c r="D105" i="1" s="1"/>
  <c r="C21" i="1"/>
  <c r="C105" i="1" s="1"/>
  <c r="B21" i="1"/>
  <c r="B105" i="1" s="1"/>
  <c r="M20" i="1"/>
  <c r="L20" i="1"/>
  <c r="L104" i="1" s="1"/>
  <c r="K20" i="1"/>
  <c r="K104" i="1" s="1"/>
  <c r="J20" i="1"/>
  <c r="J104" i="1" s="1"/>
  <c r="I20" i="1"/>
  <c r="I104" i="1" s="1"/>
  <c r="H20" i="1"/>
  <c r="H104" i="1" s="1"/>
  <c r="G20" i="1"/>
  <c r="G104" i="1" s="1"/>
  <c r="F20" i="1"/>
  <c r="F104" i="1" s="1"/>
  <c r="E20" i="1"/>
  <c r="D20" i="1"/>
  <c r="D104" i="1" s="1"/>
  <c r="C20" i="1"/>
  <c r="C104" i="1" s="1"/>
  <c r="B20" i="1"/>
  <c r="M19" i="1"/>
  <c r="L19" i="1"/>
  <c r="K19" i="1"/>
  <c r="J19" i="1"/>
  <c r="I19" i="1"/>
  <c r="H19" i="1"/>
  <c r="G19" i="1"/>
  <c r="F19" i="1"/>
  <c r="N19" i="1" s="1"/>
  <c r="E19" i="1"/>
  <c r="D19" i="1"/>
  <c r="C19" i="1"/>
  <c r="B19" i="1"/>
  <c r="L18" i="1"/>
  <c r="K18" i="1"/>
  <c r="B18" i="1"/>
  <c r="B102" i="1" s="1"/>
  <c r="L17" i="1"/>
  <c r="G17" i="1"/>
  <c r="F17" i="1"/>
  <c r="C17" i="1"/>
  <c r="M16" i="1"/>
  <c r="M100" i="1" s="1"/>
  <c r="L16" i="1"/>
  <c r="L100" i="1" s="1"/>
  <c r="K16" i="1"/>
  <c r="K100" i="1" s="1"/>
  <c r="J16" i="1"/>
  <c r="J100" i="1" s="1"/>
  <c r="I16" i="1"/>
  <c r="I100" i="1" s="1"/>
  <c r="H16" i="1"/>
  <c r="H100" i="1" s="1"/>
  <c r="G16" i="1"/>
  <c r="G100" i="1" s="1"/>
  <c r="F16" i="1"/>
  <c r="F100" i="1" s="1"/>
  <c r="E16" i="1"/>
  <c r="E100" i="1" s="1"/>
  <c r="D16" i="1"/>
  <c r="D100" i="1" s="1"/>
  <c r="C16" i="1"/>
  <c r="C100" i="1" s="1"/>
  <c r="B16" i="1"/>
  <c r="B100" i="1" s="1"/>
  <c r="M15" i="1"/>
  <c r="L15" i="1"/>
  <c r="L99" i="1" s="1"/>
  <c r="K15" i="1"/>
  <c r="K99" i="1" s="1"/>
  <c r="K101" i="1" s="1"/>
  <c r="J15" i="1"/>
  <c r="J99" i="1" s="1"/>
  <c r="I15" i="1"/>
  <c r="I99" i="1" s="1"/>
  <c r="I101" i="1" s="1"/>
  <c r="H15" i="1"/>
  <c r="H99" i="1" s="1"/>
  <c r="H101" i="1" s="1"/>
  <c r="G15" i="1"/>
  <c r="G99" i="1" s="1"/>
  <c r="G101" i="1" s="1"/>
  <c r="F15" i="1"/>
  <c r="F99" i="1" s="1"/>
  <c r="E15" i="1"/>
  <c r="D15" i="1"/>
  <c r="D99" i="1" s="1"/>
  <c r="C15" i="1"/>
  <c r="C99" i="1" s="1"/>
  <c r="C101" i="1" s="1"/>
  <c r="B15" i="1"/>
  <c r="B99" i="1" s="1"/>
  <c r="B14" i="1"/>
  <c r="M10" i="1"/>
  <c r="M94" i="1" s="1"/>
  <c r="L10" i="1"/>
  <c r="L94" i="1" s="1"/>
  <c r="K10" i="1"/>
  <c r="K94" i="1" s="1"/>
  <c r="J10" i="1"/>
  <c r="J94" i="1" s="1"/>
  <c r="I10" i="1"/>
  <c r="H10" i="1"/>
  <c r="H94" i="1" s="1"/>
  <c r="G10" i="1"/>
  <c r="G94" i="1" s="1"/>
  <c r="F10" i="1"/>
  <c r="F94" i="1" s="1"/>
  <c r="E10" i="1"/>
  <c r="E94" i="1" s="1"/>
  <c r="D10" i="1"/>
  <c r="D94" i="1" s="1"/>
  <c r="C10" i="1"/>
  <c r="C94" i="1" s="1"/>
  <c r="H8" i="1"/>
  <c r="H9" i="1" s="1"/>
  <c r="M7" i="1"/>
  <c r="M91" i="1" s="1"/>
  <c r="L7" i="1"/>
  <c r="L91" i="1" s="1"/>
  <c r="H7" i="1"/>
  <c r="E7" i="1"/>
  <c r="E91" i="1" s="1"/>
  <c r="D7" i="1"/>
  <c r="D91" i="1" s="1"/>
  <c r="B7" i="1"/>
  <c r="B91" i="1" s="1"/>
  <c r="M6" i="1"/>
  <c r="M90" i="1" s="1"/>
  <c r="L6" i="1"/>
  <c r="L90" i="1" s="1"/>
  <c r="K6" i="1"/>
  <c r="K90" i="1" s="1"/>
  <c r="J6" i="1"/>
  <c r="J90" i="1" s="1"/>
  <c r="I6" i="1"/>
  <c r="I90" i="1" s="1"/>
  <c r="H6" i="1"/>
  <c r="H90" i="1" s="1"/>
  <c r="G6" i="1"/>
  <c r="G90" i="1" s="1"/>
  <c r="F6" i="1"/>
  <c r="F90" i="1" s="1"/>
  <c r="E6" i="1"/>
  <c r="E90" i="1" s="1"/>
  <c r="D6" i="1"/>
  <c r="D90" i="1" s="1"/>
  <c r="C6" i="1"/>
  <c r="C7" i="1" s="1"/>
  <c r="M5" i="1"/>
  <c r="M4" i="1" s="1"/>
  <c r="L5" i="1"/>
  <c r="L89" i="1" s="1"/>
  <c r="K5" i="1"/>
  <c r="K89" i="1" s="1"/>
  <c r="K88" i="1" s="1"/>
  <c r="J5" i="1"/>
  <c r="J89" i="1" s="1"/>
  <c r="J88" i="1" s="1"/>
  <c r="I5" i="1"/>
  <c r="I89" i="1" s="1"/>
  <c r="H5" i="1"/>
  <c r="H89" i="1" s="1"/>
  <c r="G5" i="1"/>
  <c r="G89" i="1" s="1"/>
  <c r="F5" i="1"/>
  <c r="F89" i="1" s="1"/>
  <c r="F88" i="1" s="1"/>
  <c r="E5" i="1"/>
  <c r="D5" i="1"/>
  <c r="D89" i="1" s="1"/>
  <c r="C5" i="1"/>
  <c r="C89" i="1" s="1"/>
  <c r="C88" i="1" s="1"/>
  <c r="L4" i="1"/>
  <c r="J4" i="1"/>
  <c r="I4" i="1"/>
  <c r="G4" i="1"/>
  <c r="D4" i="1"/>
  <c r="B4" i="1"/>
  <c r="N109" i="1" l="1"/>
  <c r="N49" i="1"/>
  <c r="C91" i="1"/>
  <c r="C8" i="1"/>
  <c r="N105" i="1"/>
  <c r="N10" i="1"/>
  <c r="E8" i="1"/>
  <c r="M17" i="1"/>
  <c r="M99" i="1"/>
  <c r="M101" i="1" s="1"/>
  <c r="N36" i="1"/>
  <c r="N38" i="1"/>
  <c r="N40" i="1"/>
  <c r="E53" i="1"/>
  <c r="E54" i="1" s="1"/>
  <c r="K51" i="1"/>
  <c r="K53" i="1" s="1"/>
  <c r="K54" i="1" s="1"/>
  <c r="I56" i="1"/>
  <c r="N72" i="1"/>
  <c r="E73" i="1"/>
  <c r="E115" i="1" s="1"/>
  <c r="M73" i="1"/>
  <c r="N78" i="1"/>
  <c r="N80" i="1"/>
  <c r="B124" i="1"/>
  <c r="N124" i="1" s="1"/>
  <c r="N82" i="1"/>
  <c r="N29" i="1"/>
  <c r="J7" i="1"/>
  <c r="J91" i="1" s="1"/>
  <c r="M8" i="1"/>
  <c r="E17" i="1"/>
  <c r="E99" i="1"/>
  <c r="I18" i="1"/>
  <c r="I102" i="1" s="1"/>
  <c r="M31" i="1"/>
  <c r="H4" i="1"/>
  <c r="D88" i="1"/>
  <c r="L88" i="1"/>
  <c r="K7" i="1"/>
  <c r="F8" i="1"/>
  <c r="H11" i="1"/>
  <c r="F101" i="1"/>
  <c r="N15" i="1"/>
  <c r="D17" i="1"/>
  <c r="J18" i="1"/>
  <c r="J102" i="1" s="1"/>
  <c r="N27" i="1"/>
  <c r="E113" i="1"/>
  <c r="M113" i="1"/>
  <c r="N113" i="1" s="1"/>
  <c r="D31" i="1"/>
  <c r="F53" i="1"/>
  <c r="F54" i="1" s="1"/>
  <c r="N47" i="1"/>
  <c r="B50" i="1"/>
  <c r="F59" i="1"/>
  <c r="N59" i="1" s="1"/>
  <c r="N65" i="1"/>
  <c r="C73" i="1"/>
  <c r="N108" i="1"/>
  <c r="N112" i="1"/>
  <c r="E89" i="1"/>
  <c r="E88" i="1" s="1"/>
  <c r="N5" i="1"/>
  <c r="C18" i="1"/>
  <c r="N18" i="1" s="1"/>
  <c r="N20" i="1"/>
  <c r="B104" i="1"/>
  <c r="N104" i="1" s="1"/>
  <c r="L107" i="1"/>
  <c r="C116" i="1"/>
  <c r="C31" i="1"/>
  <c r="K116" i="1"/>
  <c r="K31" i="1"/>
  <c r="N35" i="1"/>
  <c r="C50" i="1"/>
  <c r="G59" i="1"/>
  <c r="K56" i="1"/>
  <c r="M89" i="1"/>
  <c r="N123" i="1"/>
  <c r="N33" i="1"/>
  <c r="D107" i="1"/>
  <c r="N107" i="1" s="1"/>
  <c r="F31" i="1"/>
  <c r="N118" i="1"/>
  <c r="C4" i="1"/>
  <c r="K4" i="1"/>
  <c r="G88" i="1"/>
  <c r="C90" i="1"/>
  <c r="N90" i="1" s="1"/>
  <c r="F7" i="1"/>
  <c r="F91" i="1" s="1"/>
  <c r="E14" i="1"/>
  <c r="H17" i="1"/>
  <c r="D18" i="1"/>
  <c r="D102" i="1" s="1"/>
  <c r="M18" i="1"/>
  <c r="M102" i="1" s="1"/>
  <c r="G105" i="1"/>
  <c r="C109" i="1"/>
  <c r="K109" i="1"/>
  <c r="H31" i="1"/>
  <c r="N120" i="1"/>
  <c r="N37" i="1"/>
  <c r="N39" i="1"/>
  <c r="H49" i="1"/>
  <c r="H50" i="1" s="1"/>
  <c r="D51" i="1"/>
  <c r="D53" i="1" s="1"/>
  <c r="D54" i="1" s="1"/>
  <c r="I59" i="1"/>
  <c r="D73" i="1"/>
  <c r="L73" i="1"/>
  <c r="H73" i="1"/>
  <c r="N100" i="1"/>
  <c r="N21" i="1"/>
  <c r="H88" i="1"/>
  <c r="G7" i="1"/>
  <c r="B8" i="1"/>
  <c r="I94" i="1"/>
  <c r="N94" i="1" s="1"/>
  <c r="B13" i="1"/>
  <c r="B101" i="1"/>
  <c r="J101" i="1"/>
  <c r="I17" i="1"/>
  <c r="E18" i="1"/>
  <c r="E102" i="1" s="1"/>
  <c r="H18" i="1"/>
  <c r="H102" i="1" s="1"/>
  <c r="H105" i="1"/>
  <c r="N23" i="1"/>
  <c r="I31" i="1"/>
  <c r="E46" i="1"/>
  <c r="J53" i="1"/>
  <c r="J54" i="1" s="1"/>
  <c r="N48" i="1"/>
  <c r="I50" i="1"/>
  <c r="N63" i="1"/>
  <c r="N66" i="1"/>
  <c r="N74" i="1"/>
  <c r="J73" i="1"/>
  <c r="N106" i="1"/>
  <c r="N110" i="1"/>
  <c r="N121" i="1"/>
  <c r="E4" i="1"/>
  <c r="I88" i="1"/>
  <c r="H91" i="1"/>
  <c r="N16" i="1"/>
  <c r="J17" i="1"/>
  <c r="F18" i="1"/>
  <c r="F102" i="1" s="1"/>
  <c r="E104" i="1"/>
  <c r="M104" i="1"/>
  <c r="J31" i="1"/>
  <c r="N117" i="1"/>
  <c r="N34" i="1"/>
  <c r="G55" i="1"/>
  <c r="C60" i="1"/>
  <c r="N60" i="1" s="1"/>
  <c r="K60" i="1"/>
  <c r="K102" i="1" s="1"/>
  <c r="N69" i="1"/>
  <c r="F4" i="1"/>
  <c r="N6" i="1"/>
  <c r="I7" i="1"/>
  <c r="I91" i="1" s="1"/>
  <c r="D8" i="1"/>
  <c r="L8" i="1"/>
  <c r="D101" i="1"/>
  <c r="L101" i="1"/>
  <c r="B17" i="1"/>
  <c r="N17" i="1" s="1"/>
  <c r="K17" i="1"/>
  <c r="G18" i="1"/>
  <c r="G102" i="1" s="1"/>
  <c r="N25" i="1"/>
  <c r="L31" i="1"/>
  <c r="G31" i="1"/>
  <c r="G116" i="1"/>
  <c r="N116" i="1" s="1"/>
  <c r="N119" i="1"/>
  <c r="E122" i="1"/>
  <c r="N122" i="1" s="1"/>
  <c r="M122" i="1"/>
  <c r="G50" i="1"/>
  <c r="L50" i="1"/>
  <c r="L51" i="1" s="1"/>
  <c r="L53" i="1"/>
  <c r="L54" i="1" s="1"/>
  <c r="D60" i="1"/>
  <c r="L60" i="1"/>
  <c r="L102" i="1" s="1"/>
  <c r="N71" i="1"/>
  <c r="N79" i="1"/>
  <c r="N32" i="1"/>
  <c r="N57" i="1"/>
  <c r="F73" i="1"/>
  <c r="B73" i="1"/>
  <c r="B115" i="1" s="1"/>
  <c r="B88" i="1"/>
  <c r="H51" i="1" l="1"/>
  <c r="H93" i="1" s="1"/>
  <c r="H92" i="1"/>
  <c r="H53" i="1"/>
  <c r="H54" i="1" s="1"/>
  <c r="B97" i="1"/>
  <c r="B98" i="1"/>
  <c r="E98" i="1"/>
  <c r="E97" i="1"/>
  <c r="F55" i="1"/>
  <c r="F56" i="1"/>
  <c r="D92" i="1"/>
  <c r="D9" i="1"/>
  <c r="D93" i="1" s="1"/>
  <c r="H56" i="1"/>
  <c r="H55" i="1"/>
  <c r="C13" i="1"/>
  <c r="C115" i="1"/>
  <c r="C14" i="1"/>
  <c r="N50" i="1"/>
  <c r="B51" i="1"/>
  <c r="C9" i="1"/>
  <c r="C92" i="1"/>
  <c r="G51" i="1"/>
  <c r="G53" i="1" s="1"/>
  <c r="G54" i="1" s="1"/>
  <c r="I51" i="1"/>
  <c r="I53" i="1"/>
  <c r="I54" i="1" s="1"/>
  <c r="L56" i="1"/>
  <c r="L55" i="1"/>
  <c r="M88" i="1"/>
  <c r="N46" i="1"/>
  <c r="E56" i="1"/>
  <c r="E55" i="1"/>
  <c r="J8" i="1"/>
  <c r="D56" i="1"/>
  <c r="D55" i="1"/>
  <c r="H115" i="1"/>
  <c r="H14" i="1"/>
  <c r="H13" i="1"/>
  <c r="M115" i="1"/>
  <c r="M14" i="1"/>
  <c r="M13" i="1"/>
  <c r="E92" i="1"/>
  <c r="E9" i="1"/>
  <c r="E93" i="1" s="1"/>
  <c r="E11" i="1"/>
  <c r="N31" i="1"/>
  <c r="J55" i="1"/>
  <c r="J56" i="1"/>
  <c r="G91" i="1"/>
  <c r="G8" i="1"/>
  <c r="I8" i="1"/>
  <c r="F115" i="1"/>
  <c r="F14" i="1"/>
  <c r="F13" i="1"/>
  <c r="C51" i="1"/>
  <c r="C53" i="1"/>
  <c r="C54" i="1" s="1"/>
  <c r="N89" i="1"/>
  <c r="D115" i="1"/>
  <c r="N115" i="1" s="1"/>
  <c r="D14" i="1"/>
  <c r="D13" i="1"/>
  <c r="H95" i="1"/>
  <c r="H12" i="1"/>
  <c r="H96" i="1" s="1"/>
  <c r="E101" i="1"/>
  <c r="N73" i="1"/>
  <c r="B55" i="1"/>
  <c r="B56" i="1"/>
  <c r="L92" i="1"/>
  <c r="L9" i="1"/>
  <c r="L93" i="1" s="1"/>
  <c r="N101" i="1"/>
  <c r="J115" i="1"/>
  <c r="J13" i="1"/>
  <c r="J14" i="1"/>
  <c r="N7" i="1"/>
  <c r="C102" i="1"/>
  <c r="N102" i="1" s="1"/>
  <c r="C56" i="1"/>
  <c r="C55" i="1"/>
  <c r="F92" i="1"/>
  <c r="F9" i="1"/>
  <c r="F93" i="1" s="1"/>
  <c r="L115" i="1"/>
  <c r="L14" i="1"/>
  <c r="L13" i="1"/>
  <c r="B92" i="1"/>
  <c r="N8" i="1"/>
  <c r="B9" i="1"/>
  <c r="B11" i="1" s="1"/>
  <c r="G115" i="1"/>
  <c r="G14" i="1"/>
  <c r="G13" i="1"/>
  <c r="F11" i="1"/>
  <c r="I115" i="1"/>
  <c r="I13" i="1"/>
  <c r="I14" i="1"/>
  <c r="N99" i="1"/>
  <c r="K13" i="1"/>
  <c r="K115" i="1"/>
  <c r="K14" i="1"/>
  <c r="N4" i="1"/>
  <c r="K91" i="1"/>
  <c r="K8" i="1"/>
  <c r="M92" i="1"/>
  <c r="M9" i="1"/>
  <c r="M55" i="1"/>
  <c r="M56" i="1"/>
  <c r="B12" i="1" l="1"/>
  <c r="N97" i="1"/>
  <c r="N98" i="1"/>
  <c r="K97" i="1"/>
  <c r="K98" i="1"/>
  <c r="L97" i="1"/>
  <c r="L98" i="1"/>
  <c r="N55" i="1"/>
  <c r="N56" i="1"/>
  <c r="M98" i="1"/>
  <c r="M97" i="1"/>
  <c r="G97" i="1"/>
  <c r="G98" i="1"/>
  <c r="J97" i="1"/>
  <c r="J98" i="1"/>
  <c r="M93" i="1"/>
  <c r="M11" i="1"/>
  <c r="N51" i="1"/>
  <c r="K9" i="1"/>
  <c r="K93" i="1" s="1"/>
  <c r="K92" i="1"/>
  <c r="L11" i="1"/>
  <c r="F97" i="1"/>
  <c r="F98" i="1"/>
  <c r="D11" i="1"/>
  <c r="E95" i="1"/>
  <c r="E12" i="1"/>
  <c r="E96" i="1" s="1"/>
  <c r="I97" i="1"/>
  <c r="I98" i="1"/>
  <c r="I92" i="1"/>
  <c r="I11" i="1"/>
  <c r="I9" i="1"/>
  <c r="I93" i="1" s="1"/>
  <c r="B53" i="1"/>
  <c r="C93" i="1"/>
  <c r="C11" i="1"/>
  <c r="F95" i="1"/>
  <c r="F12" i="1"/>
  <c r="F96" i="1" s="1"/>
  <c r="D97" i="1"/>
  <c r="D98" i="1"/>
  <c r="G92" i="1"/>
  <c r="G9" i="1"/>
  <c r="G93" i="1" s="1"/>
  <c r="J92" i="1"/>
  <c r="J9" i="1"/>
  <c r="J93" i="1" s="1"/>
  <c r="B93" i="1"/>
  <c r="N14" i="1"/>
  <c r="N13" i="1"/>
  <c r="H98" i="1"/>
  <c r="H97" i="1"/>
  <c r="N92" i="1"/>
  <c r="N88" i="1"/>
  <c r="N91" i="1"/>
  <c r="C97" i="1"/>
  <c r="C98" i="1"/>
  <c r="N11" i="1" l="1"/>
  <c r="N93" i="1"/>
  <c r="L95" i="1"/>
  <c r="L12" i="1"/>
  <c r="L96" i="1" s="1"/>
  <c r="J11" i="1"/>
  <c r="K11" i="1"/>
  <c r="G11" i="1"/>
  <c r="N53" i="1"/>
  <c r="B54" i="1"/>
  <c r="N54" i="1" s="1"/>
  <c r="D95" i="1"/>
  <c r="D12" i="1"/>
  <c r="D96" i="1" s="1"/>
  <c r="M95" i="1"/>
  <c r="M12" i="1"/>
  <c r="M96" i="1" s="1"/>
  <c r="C95" i="1"/>
  <c r="C12" i="1"/>
  <c r="C96" i="1" s="1"/>
  <c r="N9" i="1"/>
  <c r="I12" i="1"/>
  <c r="I96" i="1" s="1"/>
  <c r="I95" i="1"/>
  <c r="B95" i="1"/>
  <c r="G95" i="1" l="1"/>
  <c r="G12" i="1"/>
  <c r="G96" i="1" s="1"/>
  <c r="K95" i="1"/>
  <c r="K12" i="1"/>
  <c r="K96" i="1" s="1"/>
  <c r="J95" i="1"/>
  <c r="J12" i="1"/>
  <c r="J96" i="1" s="1"/>
  <c r="B96" i="1"/>
  <c r="N96" i="1" s="1"/>
  <c r="N95" i="1"/>
  <c r="N12" i="1" l="1"/>
</calcChain>
</file>

<file path=xl/sharedStrings.xml><?xml version="1.0" encoding="utf-8"?>
<sst xmlns="http://schemas.openxmlformats.org/spreadsheetml/2006/main" count="150" uniqueCount="92">
  <si>
    <t>Dados Gerais - Consórcio Atlântico Sul</t>
  </si>
  <si>
    <t>Ano:2025</t>
  </si>
  <si>
    <t>Componentes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</si>
  <si>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</si>
  <si>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</si>
  <si>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</si>
  <si>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</si>
  <si>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</si>
  <si>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</si>
  <si>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</si>
  <si>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</si>
  <si>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</si>
  <si>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</si>
  <si>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</si>
  <si>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</si>
  <si>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Total</t>
  </si>
  <si>
    <t>Custo Por KM  (R$/km)</t>
  </si>
  <si>
    <t>(1) Custo Total   (R$)</t>
  </si>
  <si>
    <t>Receita Arrecadada Efetiva (R$)</t>
  </si>
  <si>
    <t>Gerenciamento CETURB (5% da receita) (R$)</t>
  </si>
  <si>
    <t>(2) Receita Efetiva Líquida(R$)</t>
  </si>
  <si>
    <t>(3) % Evasão da receita (2,64%) (R$)</t>
  </si>
  <si>
    <t>(4) Receitas Acessórias (R$)</t>
  </si>
  <si>
    <t>Subsídio Tarifário = (1)-(2)-(3)-(4) (R$)</t>
  </si>
  <si>
    <t>Gerenciamento CETURB (5% do subsídio) (R$)</t>
  </si>
  <si>
    <t>IPK - Índice de passageiro por km</t>
  </si>
  <si>
    <t>Passageiro por Viagem</t>
  </si>
  <si>
    <t>Km Remunerada</t>
  </si>
  <si>
    <t>Viagens Remuneradas</t>
  </si>
  <si>
    <t>P.M.M - Percurso Médio Mensal</t>
  </si>
  <si>
    <t>Frota Total</t>
  </si>
  <si>
    <t xml:space="preserve">Idade Média </t>
  </si>
  <si>
    <t>Frota Operante</t>
  </si>
  <si>
    <t xml:space="preserve">Convencional   </t>
  </si>
  <si>
    <t>Articulado</t>
  </si>
  <si>
    <t>Micro</t>
  </si>
  <si>
    <t>Padron Elétrico</t>
  </si>
  <si>
    <t>Micro Transcol +Acessível</t>
  </si>
  <si>
    <t>Demanda Total</t>
  </si>
  <si>
    <t>Vale Transporte</t>
  </si>
  <si>
    <t>Cartão Cidadão</t>
  </si>
  <si>
    <t>Idoso Gratuito</t>
  </si>
  <si>
    <t>Passe Escolar (50%)</t>
  </si>
  <si>
    <t>Escolar Gratuito (100%)</t>
  </si>
  <si>
    <t>Deficiente Gratuito (100%)</t>
  </si>
  <si>
    <t>Integrado</t>
  </si>
  <si>
    <t>Passe Livre (Gratuito)</t>
  </si>
  <si>
    <t xml:space="preserve">Vale Especial </t>
  </si>
  <si>
    <t>Dados Gerais Consórcio Sudoeste</t>
  </si>
  <si>
    <t>Dados Gerais do Sistema Transcol</t>
  </si>
  <si>
    <t>DEFINIÇÃO DOS PRINCIPAIS ITENS DA PLANILHA DOS DADOS GERAIS</t>
  </si>
  <si>
    <t>Preço/km vencedor do processo licitatório, reajustado, anualmente, pelos critérios definidos em contrato;</t>
  </si>
  <si>
    <t>Custo Total   (R$)</t>
  </si>
  <si>
    <t>Valor definido pela quilometragem rodada multiplicado pelo preço/custo/km;</t>
  </si>
  <si>
    <t>Receita que fica com cada Consórcio após rateio pela participação de seu custo no custo total dos sistema;</t>
  </si>
  <si>
    <t>Percentual definido em lei, a ser repassado à CETURB-GV, para gestão dos serviços;</t>
  </si>
  <si>
    <t>Receita Efetiva Líquida(R$)</t>
  </si>
  <si>
    <t>Receita de cada Consórcio, descontando o gerenciamento repassado ao órgão gestor;</t>
  </si>
  <si>
    <t>% Evasão da receita (2,64%) (R$)</t>
  </si>
  <si>
    <t>Percentual que incide sobre a receita menos o gerenciamento, previsto no edital de licitação, medido por meio de pesquisa;</t>
  </si>
  <si>
    <t>Receitas Acessórias (R$)</t>
  </si>
  <si>
    <t>Receitas acessórias ou alternativas, previstas em contrato;</t>
  </si>
  <si>
    <t>Subsídio (R$)</t>
  </si>
  <si>
    <t>Valor repassado aos Consórcios, resultado da diferença entre o custo total menos a receita efetiva líquida, a evasão e as receitas acessórias;</t>
  </si>
  <si>
    <t>Índice de passageiros transportados por quilômetro rodado;</t>
  </si>
  <si>
    <t>Número médio de passageiros transportados por viagem;</t>
  </si>
  <si>
    <t>Quilometragem adotada no cálculo do custo total, formada pela km realizada acrescida da km autorizada;</t>
  </si>
  <si>
    <t>Viagens realizadas em relação as programadas, acrescida das viagens autorizadas (de acordo com a necessidade operacional);</t>
  </si>
  <si>
    <t>Quilometragem média mensal  percorrida pela frota operante;</t>
  </si>
  <si>
    <t>Representa a frota operante mais a reserva técnica, que pode ser de até 10% da frota operante;</t>
  </si>
  <si>
    <t>Idade média ponderada da frota;</t>
  </si>
  <si>
    <t>Frota necessária para cumprir as viagens definidas nas ordens de serviço;</t>
  </si>
  <si>
    <t xml:space="preserve">Veículo Convencional   </t>
  </si>
  <si>
    <t>Tipo de veículo mais utilizado no TRANSCOL, formada por veículos com e sem ar condicionado;</t>
  </si>
  <si>
    <t>Veículo Articulado</t>
  </si>
  <si>
    <t>Veículos conhecidos como "minhocão" ou "sanfonado", usado em linhas de maior fluxo de demanda;</t>
  </si>
  <si>
    <t xml:space="preserve"> Microônibus</t>
  </si>
  <si>
    <t>Veículos de menor porte, usado em linhas onde os veículos convencionais tem dificuldade de rodar, como morros por exemplo;</t>
  </si>
  <si>
    <t>Veículos movidos a eletricidade, apresentando maior nível de conforto e silêncio ao rodar, além de não emitir gases poluentes;</t>
  </si>
  <si>
    <t>Veículos utilizados para o transporte de pessoas com deficiência (PCD), por meio de agendamento de viagens;</t>
  </si>
  <si>
    <t>Demanda total transportada no sistema, seja no mês ou ano;</t>
  </si>
  <si>
    <t>Passageiros que utilizam o cartão vale transporte para pagamento de passagem;</t>
  </si>
  <si>
    <t>Passageiros que utilizam o cartão cidadão para pagamento de passagem;</t>
  </si>
  <si>
    <t>Passageiros que utilizam o cartão idoso para utilizarem o TRANSCOL, sem o pagamento das passagem;</t>
  </si>
  <si>
    <t>Cartão utlizado por estudantes com benefício de pagamento de 50% do valor da tarifa vigente;</t>
  </si>
  <si>
    <t>Cartão utlizado por estudantes com benefício de gratuidade de 100% do valor da tarifa, concedido pela legislação vigente;</t>
  </si>
  <si>
    <t>Cartão utlizado por PCD's com benefício de gratuidade de 100% do valor da tarifa, concedido pela legislação vigente;</t>
  </si>
  <si>
    <t>Usuários que utilizam mais de uma linha, sem a cobrança na segunda viagem, se esta ocorrer dentro de um limite de tempo parametrizado;</t>
  </si>
  <si>
    <t>Categoria de usuários que possuem algum benefício de gratuidade na utilização do transporte coletivo, prevista em legislação;</t>
  </si>
  <si>
    <t>Adquiridos por entidades filantrópicas e disponibilizados aos usuários de seus serviços, geralmente pessoas de baixa renda.</t>
  </si>
  <si>
    <t xml:space="preserve">Obs: Considerando que o gerenciamento incide sobre o valor da tarifa técnica de remuneração dos serviços.  O percentual de 5% do gerenciamento deve incidir tanto na receita arrecadada </t>
  </si>
  <si>
    <t>com a tarifa usuário como na parcela de subsídio repassado pelo Estado, que complementa a receita necessária para cobrir os custos operacionais.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</si>
</sst>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0.0000"/>
    <numFmt numFmtId="166" formatCode="#,##0.0000_);[Red]\(#,##0.0000\)"/>
    <numFmt numFmtId="167" formatCode="_(* #,##0.0000_);_(* \(#,##0.0000\);_(* &quot;-&quot;??_);_(@_)"/>
    <numFmt numFmtId="168" formatCode="_(* #,##0.0_);_(* \(#,##0.0\);_(* &quot;-&quot;??_);_(@_)"/>
    <numFmt numFmtId="169" formatCode="_(* #,##0_);_(* \(#,##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ptos"/>
      <family val="2"/>
    </font>
    <font>
      <b/>
      <sz val="18"/>
      <name val="Aptos"/>
      <family val="2"/>
    </font>
    <font>
      <b/>
      <sz val="14"/>
      <name val="Aptos"/>
      <family val="2"/>
    </font>
    <font>
      <b/>
      <sz val="12"/>
      <name val="Aptos"/>
      <family val="2"/>
    </font>
    <font>
      <b/>
      <sz val="10"/>
      <name val="Aptos"/>
      <family val="2"/>
    </font>
    <font>
      <sz val="10"/>
      <color theme="1"/>
      <name val="Aptos"/>
      <family val="2"/>
    </font>
    <font>
      <b/>
      <sz val="11"/>
      <name val="Aptos"/>
      <family val="2"/>
    </font>
    <font>
      <sz val="11"/>
      <name val="Aptos"/>
      <family val="2"/>
    </font>
    <font>
      <b/>
      <sz val="9"/>
      <name val="Aptos"/>
      <family val="2"/>
    </font>
    <font>
      <i/>
      <sz val="10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04">
    <xf numFmtId="0" fontId="0" fillId="0" borderId="0" xfId="0"/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Continuous" vertical="center"/>
    </xf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3" borderId="5" xfId="0" applyFont="1" applyFill="1" applyBorder="1" applyAlignment="1">
      <alignment vertical="center"/>
    </xf>
    <xf numFmtId="164" fontId="2" fillId="3" borderId="6" xfId="0" applyNumberFormat="1" applyFont="1" applyFill="1" applyBorder="1" applyAlignment="1">
      <alignment horizontal="center" vertical="center"/>
    </xf>
    <xf numFmtId="164" fontId="2" fillId="3" borderId="7" xfId="0" applyNumberFormat="1" applyFont="1" applyFill="1" applyBorder="1" applyAlignment="1">
      <alignment horizontal="center" vertical="center"/>
    </xf>
    <xf numFmtId="164" fontId="6" fillId="3" borderId="5" xfId="0" applyNumberFormat="1" applyFont="1" applyFill="1" applyBorder="1" applyAlignment="1">
      <alignment horizontal="center" vertical="center"/>
    </xf>
    <xf numFmtId="0" fontId="6" fillId="0" borderId="8" xfId="0" applyFont="1" applyBorder="1" applyAlignment="1">
      <alignment vertical="center"/>
    </xf>
    <xf numFmtId="40" fontId="2" fillId="0" borderId="9" xfId="1" applyNumberFormat="1" applyFont="1" applyFill="1" applyBorder="1" applyAlignment="1">
      <alignment vertical="center"/>
    </xf>
    <xf numFmtId="40" fontId="6" fillId="0" borderId="8" xfId="0" applyNumberFormat="1" applyFont="1" applyBorder="1" applyAlignment="1">
      <alignment vertical="center"/>
    </xf>
    <xf numFmtId="0" fontId="6" fillId="3" borderId="8" xfId="0" applyFont="1" applyFill="1" applyBorder="1" applyAlignment="1">
      <alignment vertical="center"/>
    </xf>
    <xf numFmtId="40" fontId="2" fillId="3" borderId="9" xfId="1" applyNumberFormat="1" applyFont="1" applyFill="1" applyBorder="1" applyAlignment="1">
      <alignment vertical="center"/>
    </xf>
    <xf numFmtId="40" fontId="6" fillId="3" borderId="8" xfId="0" applyNumberFormat="1" applyFont="1" applyFill="1" applyBorder="1" applyAlignment="1">
      <alignment vertical="center"/>
    </xf>
    <xf numFmtId="166" fontId="2" fillId="3" borderId="9" xfId="1" applyNumberFormat="1" applyFont="1" applyFill="1" applyBorder="1" applyAlignment="1">
      <alignment horizontal="center" vertical="center"/>
    </xf>
    <xf numFmtId="166" fontId="2" fillId="3" borderId="10" xfId="1" applyNumberFormat="1" applyFont="1" applyFill="1" applyBorder="1" applyAlignment="1">
      <alignment horizontal="center" vertical="center"/>
    </xf>
    <xf numFmtId="167" fontId="6" fillId="3" borderId="8" xfId="1" applyNumberFormat="1" applyFont="1" applyFill="1" applyBorder="1" applyAlignment="1">
      <alignment horizontal="center" vertical="center"/>
    </xf>
    <xf numFmtId="38" fontId="2" fillId="3" borderId="9" xfId="1" applyNumberFormat="1" applyFont="1" applyFill="1" applyBorder="1" applyAlignment="1">
      <alignment horizontal="center" vertical="center"/>
    </xf>
    <xf numFmtId="38" fontId="2" fillId="3" borderId="10" xfId="1" applyNumberFormat="1" applyFont="1" applyFill="1" applyBorder="1" applyAlignment="1">
      <alignment horizontal="center" vertical="center"/>
    </xf>
    <xf numFmtId="38" fontId="6" fillId="3" borderId="8" xfId="1" applyNumberFormat="1" applyFont="1" applyFill="1" applyBorder="1" applyAlignment="1">
      <alignment horizontal="center" vertical="center"/>
    </xf>
    <xf numFmtId="43" fontId="7" fillId="0" borderId="9" xfId="2" applyFont="1" applyBorder="1" applyAlignment="1">
      <alignment vertical="center"/>
    </xf>
    <xf numFmtId="168" fontId="2" fillId="3" borderId="9" xfId="1" applyNumberFormat="1" applyFont="1" applyFill="1" applyBorder="1" applyAlignment="1">
      <alignment vertical="center"/>
    </xf>
    <xf numFmtId="168" fontId="2" fillId="3" borderId="10" xfId="1" applyNumberFormat="1" applyFont="1" applyFill="1" applyBorder="1" applyAlignment="1">
      <alignment vertical="center"/>
    </xf>
    <xf numFmtId="38" fontId="6" fillId="3" borderId="9" xfId="1" applyNumberFormat="1" applyFont="1" applyFill="1" applyBorder="1" applyAlignment="1">
      <alignment vertical="center"/>
    </xf>
    <xf numFmtId="38" fontId="6" fillId="3" borderId="8" xfId="0" applyNumberFormat="1" applyFont="1" applyFill="1" applyBorder="1" applyAlignment="1">
      <alignment vertical="center"/>
    </xf>
    <xf numFmtId="40" fontId="2" fillId="0" borderId="10" xfId="1" applyNumberFormat="1" applyFont="1" applyFill="1" applyBorder="1" applyAlignment="1">
      <alignment vertical="center"/>
    </xf>
    <xf numFmtId="0" fontId="6" fillId="0" borderId="8" xfId="0" applyFont="1" applyBorder="1" applyAlignment="1">
      <alignment horizontal="left" vertical="center"/>
    </xf>
    <xf numFmtId="38" fontId="6" fillId="0" borderId="9" xfId="1" applyNumberFormat="1" applyFont="1" applyFill="1" applyBorder="1" applyAlignment="1">
      <alignment vertical="center"/>
    </xf>
    <xf numFmtId="38" fontId="6" fillId="0" borderId="10" xfId="1" applyNumberFormat="1" applyFont="1" applyFill="1" applyBorder="1" applyAlignment="1">
      <alignment vertical="center"/>
    </xf>
    <xf numFmtId="38" fontId="6" fillId="0" borderId="8" xfId="0" applyNumberFormat="1" applyFont="1" applyBorder="1" applyAlignment="1">
      <alignment horizontal="right" vertical="center"/>
    </xf>
    <xf numFmtId="1" fontId="6" fillId="0" borderId="8" xfId="0" applyNumberFormat="1" applyFont="1" applyBorder="1" applyAlignment="1">
      <alignment horizontal="right" vertical="center"/>
    </xf>
    <xf numFmtId="169" fontId="6" fillId="0" borderId="8" xfId="1" applyNumberFormat="1" applyFont="1" applyFill="1" applyBorder="1" applyAlignment="1">
      <alignment vertical="center"/>
    </xf>
    <xf numFmtId="43" fontId="6" fillId="0" borderId="8" xfId="1" applyFont="1" applyFill="1" applyBorder="1" applyAlignment="1">
      <alignment vertical="center"/>
    </xf>
    <xf numFmtId="169" fontId="6" fillId="3" borderId="9" xfId="1" applyNumberFormat="1" applyFont="1" applyFill="1" applyBorder="1" applyAlignment="1">
      <alignment vertical="center"/>
    </xf>
    <xf numFmtId="169" fontId="6" fillId="3" borderId="10" xfId="1" applyNumberFormat="1" applyFont="1" applyFill="1" applyBorder="1" applyAlignment="1">
      <alignment vertical="center"/>
    </xf>
    <xf numFmtId="169" fontId="6" fillId="3" borderId="8" xfId="1" applyNumberFormat="1" applyFont="1" applyFill="1" applyBorder="1" applyAlignment="1">
      <alignment vertical="center"/>
    </xf>
    <xf numFmtId="169" fontId="2" fillId="0" borderId="9" xfId="1" applyNumberFormat="1" applyFont="1" applyFill="1" applyBorder="1" applyAlignment="1">
      <alignment vertical="center"/>
    </xf>
    <xf numFmtId="169" fontId="2" fillId="0" borderId="10" xfId="1" applyNumberFormat="1" applyFont="1" applyFill="1" applyBorder="1" applyAlignment="1">
      <alignment vertical="center"/>
    </xf>
    <xf numFmtId="0" fontId="6" fillId="0" borderId="11" xfId="0" applyFont="1" applyBorder="1" applyAlignment="1">
      <alignment vertical="center"/>
    </xf>
    <xf numFmtId="169" fontId="2" fillId="0" borderId="12" xfId="1" applyNumberFormat="1" applyFont="1" applyFill="1" applyBorder="1" applyAlignment="1">
      <alignment vertical="center"/>
    </xf>
    <xf numFmtId="169" fontId="2" fillId="0" borderId="13" xfId="1" applyNumberFormat="1" applyFont="1" applyFill="1" applyBorder="1" applyAlignment="1">
      <alignment vertical="center"/>
    </xf>
    <xf numFmtId="169" fontId="6" fillId="0" borderId="11" xfId="1" applyNumberFormat="1" applyFont="1" applyFill="1" applyBorder="1" applyAlignment="1">
      <alignment vertical="center"/>
    </xf>
    <xf numFmtId="0" fontId="6" fillId="0" borderId="14" xfId="0" applyFont="1" applyBorder="1" applyAlignment="1">
      <alignment vertical="center"/>
    </xf>
    <xf numFmtId="169" fontId="2" fillId="0" borderId="15" xfId="1" applyNumberFormat="1" applyFont="1" applyFill="1" applyBorder="1" applyAlignment="1">
      <alignment vertical="center"/>
    </xf>
    <xf numFmtId="169" fontId="2" fillId="0" borderId="16" xfId="1" applyNumberFormat="1" applyFont="1" applyFill="1" applyBorder="1" applyAlignment="1">
      <alignment vertical="center"/>
    </xf>
    <xf numFmtId="169" fontId="6" fillId="0" borderId="14" xfId="1" applyNumberFormat="1" applyFont="1" applyFill="1" applyBorder="1" applyAlignment="1">
      <alignment vertical="center"/>
    </xf>
    <xf numFmtId="0" fontId="6" fillId="0" borderId="17" xfId="0" applyFont="1" applyBorder="1" applyAlignment="1">
      <alignment vertical="center"/>
    </xf>
    <xf numFmtId="169" fontId="2" fillId="0" borderId="18" xfId="1" applyNumberFormat="1" applyFont="1" applyFill="1" applyBorder="1" applyAlignment="1">
      <alignment vertical="center"/>
    </xf>
    <xf numFmtId="169" fontId="2" fillId="0" borderId="19" xfId="1" applyNumberFormat="1" applyFont="1" applyFill="1" applyBorder="1" applyAlignment="1">
      <alignment vertical="center"/>
    </xf>
    <xf numFmtId="169" fontId="6" fillId="0" borderId="17" xfId="1" applyNumberFormat="1" applyFont="1" applyFill="1" applyBorder="1" applyAlignment="1">
      <alignment vertical="center"/>
    </xf>
    <xf numFmtId="169" fontId="8" fillId="0" borderId="0" xfId="1" applyNumberFormat="1" applyFont="1" applyFill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6" fillId="3" borderId="23" xfId="0" applyFont="1" applyFill="1" applyBorder="1" applyAlignment="1">
      <alignment vertical="center"/>
    </xf>
    <xf numFmtId="164" fontId="2" fillId="3" borderId="24" xfId="0" applyNumberFormat="1" applyFont="1" applyFill="1" applyBorder="1" applyAlignment="1">
      <alignment horizontal="center" vertical="center"/>
    </xf>
    <xf numFmtId="164" fontId="2" fillId="3" borderId="25" xfId="0" applyNumberFormat="1" applyFont="1" applyFill="1" applyBorder="1" applyAlignment="1">
      <alignment horizontal="center" vertical="center"/>
    </xf>
    <xf numFmtId="164" fontId="6" fillId="3" borderId="23" xfId="0" applyNumberFormat="1" applyFont="1" applyFill="1" applyBorder="1" applyAlignment="1">
      <alignment horizontal="center" vertical="center"/>
    </xf>
    <xf numFmtId="38" fontId="6" fillId="4" borderId="9" xfId="1" applyNumberFormat="1" applyFont="1" applyFill="1" applyBorder="1" applyAlignment="1">
      <alignment vertical="center"/>
    </xf>
    <xf numFmtId="40" fontId="2" fillId="4" borderId="9" xfId="1" applyNumberFormat="1" applyFont="1" applyFill="1" applyBorder="1" applyAlignment="1">
      <alignment vertical="center"/>
    </xf>
    <xf numFmtId="43" fontId="2" fillId="0" borderId="9" xfId="1" applyFont="1" applyFill="1" applyBorder="1" applyAlignment="1">
      <alignment vertical="center"/>
    </xf>
    <xf numFmtId="43" fontId="2" fillId="0" borderId="10" xfId="1" applyFont="1" applyFill="1" applyBorder="1" applyAlignment="1">
      <alignment vertical="center"/>
    </xf>
    <xf numFmtId="0" fontId="5" fillId="0" borderId="26" xfId="0" applyFont="1" applyBorder="1" applyAlignment="1">
      <alignment horizontal="center" vertical="center"/>
    </xf>
    <xf numFmtId="164" fontId="2" fillId="3" borderId="27" xfId="0" applyNumberFormat="1" applyFont="1" applyFill="1" applyBorder="1" applyAlignment="1">
      <alignment horizontal="center" vertical="center"/>
    </xf>
    <xf numFmtId="40" fontId="2" fillId="0" borderId="28" xfId="1" applyNumberFormat="1" applyFont="1" applyFill="1" applyBorder="1" applyAlignment="1">
      <alignment vertical="center"/>
    </xf>
    <xf numFmtId="166" fontId="2" fillId="3" borderId="9" xfId="1" applyNumberFormat="1" applyFont="1" applyFill="1" applyBorder="1" applyAlignment="1">
      <alignment vertical="center"/>
    </xf>
    <xf numFmtId="166" fontId="2" fillId="3" borderId="10" xfId="1" applyNumberFormat="1" applyFont="1" applyFill="1" applyBorder="1" applyAlignment="1">
      <alignment vertical="center"/>
    </xf>
    <xf numFmtId="166" fontId="2" fillId="3" borderId="28" xfId="1" applyNumberFormat="1" applyFont="1" applyFill="1" applyBorder="1" applyAlignment="1">
      <alignment vertical="center"/>
    </xf>
    <xf numFmtId="166" fontId="6" fillId="3" borderId="8" xfId="1" applyNumberFormat="1" applyFont="1" applyFill="1" applyBorder="1" applyAlignment="1">
      <alignment vertical="center"/>
    </xf>
    <xf numFmtId="43" fontId="2" fillId="3" borderId="9" xfId="1" applyFont="1" applyFill="1" applyBorder="1" applyAlignment="1">
      <alignment vertical="center"/>
    </xf>
    <xf numFmtId="43" fontId="2" fillId="3" borderId="10" xfId="1" applyFont="1" applyFill="1" applyBorder="1" applyAlignment="1">
      <alignment vertical="center"/>
    </xf>
    <xf numFmtId="43" fontId="2" fillId="3" borderId="28" xfId="1" applyFont="1" applyFill="1" applyBorder="1" applyAlignment="1">
      <alignment vertical="center"/>
    </xf>
    <xf numFmtId="38" fontId="6" fillId="0" borderId="8" xfId="0" applyNumberFormat="1" applyFont="1" applyBorder="1" applyAlignment="1">
      <alignment vertical="center"/>
    </xf>
    <xf numFmtId="40" fontId="2" fillId="0" borderId="9" xfId="1" applyNumberFormat="1" applyFont="1" applyFill="1" applyBorder="1" applyAlignment="1">
      <alignment horizontal="right" vertical="center"/>
    </xf>
    <xf numFmtId="40" fontId="2" fillId="0" borderId="10" xfId="1" applyNumberFormat="1" applyFont="1" applyFill="1" applyBorder="1" applyAlignment="1">
      <alignment horizontal="right" vertical="center"/>
    </xf>
    <xf numFmtId="40" fontId="2" fillId="0" borderId="28" xfId="1" applyNumberFormat="1" applyFont="1" applyFill="1" applyBorder="1" applyAlignment="1">
      <alignment horizontal="right" vertical="center"/>
    </xf>
    <xf numFmtId="40" fontId="9" fillId="0" borderId="9" xfId="1" applyNumberFormat="1" applyFont="1" applyFill="1" applyBorder="1" applyAlignment="1">
      <alignment horizontal="right" vertical="center"/>
    </xf>
    <xf numFmtId="40" fontId="9" fillId="0" borderId="10" xfId="1" applyNumberFormat="1" applyFont="1" applyFill="1" applyBorder="1" applyAlignment="1">
      <alignment horizontal="right" vertical="center"/>
    </xf>
    <xf numFmtId="40" fontId="9" fillId="0" borderId="28" xfId="1" applyNumberFormat="1" applyFont="1" applyFill="1" applyBorder="1" applyAlignment="1">
      <alignment horizontal="right" vertical="center"/>
    </xf>
    <xf numFmtId="38" fontId="8" fillId="3" borderId="9" xfId="1" applyNumberFormat="1" applyFont="1" applyFill="1" applyBorder="1" applyAlignment="1">
      <alignment horizontal="right" vertical="center"/>
    </xf>
    <xf numFmtId="169" fontId="6" fillId="0" borderId="9" xfId="1" applyNumberFormat="1" applyFont="1" applyFill="1" applyBorder="1" applyAlignment="1">
      <alignment vertical="center"/>
    </xf>
    <xf numFmtId="169" fontId="6" fillId="0" borderId="10" xfId="1" applyNumberFormat="1" applyFont="1" applyFill="1" applyBorder="1" applyAlignment="1">
      <alignment vertical="center"/>
    </xf>
    <xf numFmtId="169" fontId="6" fillId="0" borderId="28" xfId="1" applyNumberFormat="1" applyFont="1" applyFill="1" applyBorder="1" applyAlignment="1">
      <alignment vertical="center"/>
    </xf>
    <xf numFmtId="169" fontId="6" fillId="0" borderId="12" xfId="1" applyNumberFormat="1" applyFont="1" applyFill="1" applyBorder="1" applyAlignment="1">
      <alignment vertical="center"/>
    </xf>
    <xf numFmtId="169" fontId="6" fillId="0" borderId="13" xfId="1" applyNumberFormat="1" applyFont="1" applyFill="1" applyBorder="1" applyAlignment="1">
      <alignment vertical="center"/>
    </xf>
    <xf numFmtId="169" fontId="6" fillId="0" borderId="29" xfId="1" applyNumberFormat="1" applyFont="1" applyFill="1" applyBorder="1" applyAlignment="1">
      <alignment vertical="center"/>
    </xf>
    <xf numFmtId="169" fontId="6" fillId="0" borderId="18" xfId="1" applyNumberFormat="1" applyFont="1" applyFill="1" applyBorder="1" applyAlignment="1">
      <alignment vertical="center"/>
    </xf>
    <xf numFmtId="169" fontId="6" fillId="0" borderId="19" xfId="1" applyNumberFormat="1" applyFont="1" applyFill="1" applyBorder="1" applyAlignment="1">
      <alignment vertical="center"/>
    </xf>
    <xf numFmtId="169" fontId="6" fillId="0" borderId="30" xfId="1" applyNumberFormat="1" applyFont="1" applyFill="1" applyBorder="1" applyAlignment="1">
      <alignment vertical="center"/>
    </xf>
    <xf numFmtId="0" fontId="6" fillId="0" borderId="31" xfId="0" applyFont="1" applyBorder="1" applyAlignment="1">
      <alignment horizontal="center"/>
    </xf>
    <xf numFmtId="0" fontId="10" fillId="0" borderId="10" xfId="0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0" fontId="2" fillId="0" borderId="0" xfId="0" applyFont="1"/>
    <xf numFmtId="0" fontId="11" fillId="0" borderId="0" xfId="0" applyFont="1"/>
    <xf numFmtId="0" fontId="0" fillId="0" borderId="32" xfId="0" applyBorder="1"/>
    <xf numFmtId="0" fontId="0" fillId="0" borderId="12" xfId="0" applyBorder="1"/>
    <xf numFmtId="0" fontId="0" fillId="0" borderId="0" xfId="0" applyBorder="1"/>
    <xf numFmtId="0" fontId="0" fillId="0" borderId="15" xfId="0" applyBorder="1"/>
    <xf numFmtId="0" fontId="0" fillId="0" borderId="31" xfId="0" applyBorder="1"/>
    <xf numFmtId="0" fontId="0" fillId="0" borderId="6" xfId="0" applyBorder="1"/>
  </cellXfs>
  <cellStyles count="3">
    <cellStyle name="Normal" xfId="0" builtinId="0"/>
    <cellStyle name="Vírgula" xfId="1" builtinId="3"/>
    <cellStyle name="Vírgula 2" xfId="2" xr:uid="{058B2391-1F32-4D43-928A-544EB8E547E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externalLink" Target="externalLinks/externalLink38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sharedStrings" Target="sharedStrings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V:\GECON\Ger&#234;ncia\Dados%20Gerais\DADOS%20DO%20TRANSCOL%20CONSORCIOS.XLS" TargetMode="External"/><Relationship Id="rId1" Type="http://schemas.openxmlformats.org/officeDocument/2006/relationships/externalLinkPath" Target="/GECON/Ger&#234;ncia/Dados%20Gerais/DADOS%20DO%20TRANSCOL%20CONSORCIOS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GECON/Estatist/REOUT25/Camara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GECON/Estatist/RENOV25/Camara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GECON/Estatist/REDEZ25/Camara.xls" TargetMode="External"/></Relationships>
</file>

<file path=xl/externalLinks/_rels/externalLink1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V:\GECON\C&#226;mara%20de%20Compensa&#231;&#227;o%20Tarif&#225;ria\Subs&#237;dio%20TranScol%20Social%202025\SUBSIDIO%20MENSAL%20E%20ESTUDOS%202025\02%20FEVEREIRO%202025.xlsx" TargetMode="External"/><Relationship Id="rId1" Type="http://schemas.openxmlformats.org/officeDocument/2006/relationships/externalLinkPath" Target="/GECON/C&#226;mara%20de%20Compensa&#231;&#227;o%20Tarif&#225;ria/Subs&#237;dio%20TranScol%20Social%202025/SUBSIDIO%20MENSAL%20E%20ESTUDOS%202025/02%20FEVEREIRO%202025.xlsx" TargetMode="External"/></Relationships>
</file>

<file path=xl/externalLinks/_rels/externalLink1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V:\GECON\C&#226;mara%20de%20Compensa&#231;&#227;o%20Tarif&#225;ria\Subs&#237;dio%20TranScol%20Social%202025\SUBSIDIO%20MENSAL%20E%20ESTUDOS%202025\03%20MAR&#199;O%202025.xlsx" TargetMode="External"/><Relationship Id="rId1" Type="http://schemas.openxmlformats.org/officeDocument/2006/relationships/externalLinkPath" Target="/GECON/C&#226;mara%20de%20Compensa&#231;&#227;o%20Tarif&#225;ria/Subs&#237;dio%20TranScol%20Social%202025/SUBSIDIO%20MENSAL%20E%20ESTUDOS%202025/03%20MAR&#199;O%202025.xlsx" TargetMode="External"/></Relationships>
</file>

<file path=xl/externalLinks/_rels/externalLink1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V:\GECON\C&#226;mara%20de%20Compensa&#231;&#227;o%20Tarif&#225;ria\Subs&#237;dio%20TranScol%20Social%202025\SUBSIDIO%20MENSAL%20E%20ESTUDOS%202025\04%20ABRIL%202025.xlsx" TargetMode="External"/><Relationship Id="rId1" Type="http://schemas.openxmlformats.org/officeDocument/2006/relationships/externalLinkPath" Target="/GECON/C&#226;mara%20de%20Compensa&#231;&#227;o%20Tarif&#225;ria/Subs&#237;dio%20TranScol%20Social%202025/SUBSIDIO%20MENSAL%20E%20ESTUDOS%202025/04%20ABRIL%202025.xlsx" TargetMode="External"/></Relationships>
</file>

<file path=xl/externalLinks/_rels/externalLink1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V:\GECON\C&#226;mara%20de%20Compensa&#231;&#227;o%20Tarif&#225;ria\Subs&#237;dio%20TranScol%20Social%202025\SUBSIDIO%20MENSAL%20E%20ESTUDOS%202025\05%20MAIO%202025.xlsx" TargetMode="External"/><Relationship Id="rId1" Type="http://schemas.openxmlformats.org/officeDocument/2006/relationships/externalLinkPath" Target="/GECON/C&#226;mara%20de%20Compensa&#231;&#227;o%20Tarif&#225;ria/Subs&#237;dio%20TranScol%20Social%202025/SUBSIDIO%20MENSAL%20E%20ESTUDOS%202025/05%20MAIO%202025.xlsx" TargetMode="External"/></Relationships>
</file>

<file path=xl/externalLinks/_rels/externalLink17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V:\GECON\C&#226;mara%20de%20Compensa&#231;&#227;o%20Tarif&#225;ria\Subs&#237;dio%20TranScol%20Social%202025\06%20JUNHO%202025\Valor%20de%20Subs&#237;dio%2021%20a%2030-06-2025-%20CUSTO%20-%20RECEITA%20-%20REPROCESSADO.xlsx" TargetMode="External"/><Relationship Id="rId1" Type="http://schemas.openxmlformats.org/officeDocument/2006/relationships/externalLinkPath" Target="/GECON/C&#226;mara%20de%20Compensa&#231;&#227;o%20Tarif&#225;ria/Subs&#237;dio%20TranScol%20Social%202025/06%20JUNHO%202025/Valor%20de%20Subs&#237;dio%2021%20a%2030-06-2025-%20CUSTO%20-%20RECEITA%20-%20REPROCESSADO.xlsx" TargetMode="External"/></Relationships>
</file>

<file path=xl/externalLinks/_rels/externalLink18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V:\GECON\C&#226;mara%20de%20Compensa&#231;&#227;o%20Tarif&#225;ria\Subs&#237;dio%20TranScol%20Social%202025\SUBSIDIO%20MENSAL%20E%20ESTUDOS%202025\07%20JULHO%202025.xlsx" TargetMode="External"/><Relationship Id="rId1" Type="http://schemas.openxmlformats.org/officeDocument/2006/relationships/externalLinkPath" Target="/GECON/C&#226;mara%20de%20Compensa&#231;&#227;o%20Tarif&#225;ria/Subs&#237;dio%20TranScol%20Social%202025/SUBSIDIO%20MENSAL%20E%20ESTUDOS%202025/07%20JULHO%202025.xlsx" TargetMode="External"/></Relationships>
</file>

<file path=xl/externalLinks/_rels/externalLink19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V:\GECON\C&#226;mara%20de%20Compensa&#231;&#227;o%20Tarif&#225;ria\Subs&#237;dio%20TranScol%20Social%202025\SUBSIDIO%20MENSAL%20E%20ESTUDOS%202025\08%20AGOSTO%202025.xlsx" TargetMode="External"/><Relationship Id="rId1" Type="http://schemas.openxmlformats.org/officeDocument/2006/relationships/externalLinkPath" Target="/GECON/C&#226;mara%20de%20Compensa&#231;&#227;o%20Tarif&#225;ria/Subs&#237;dio%20TranScol%20Social%202025/SUBSIDIO%20MENSAL%20E%20ESTUDOS%202025/08%20AGOSTO%202025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V:\GECON\Estatist\REFEV25\Camara.xls" TargetMode="External"/><Relationship Id="rId1" Type="http://schemas.openxmlformats.org/officeDocument/2006/relationships/externalLinkPath" Target="/GECON/Estatist/REFEV25/Camara.xls" TargetMode="External"/></Relationships>
</file>

<file path=xl/externalLinks/_rels/externalLink20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V:\GECON\C&#226;mara%20de%20Compensa&#231;&#227;o%20Tarif&#225;ria\Subs&#237;dio%20TranScol%20Social%202025\RECEITA%20ALTERNATIVA%202025\09%20SETEMBRO%202025\09%20RECEITAS%20ALTERNATIVAS%20SETEMBRO%20-%2025%20-%20REMUNERA&#199;&#195;O%20PER&#205;ODO%20SETEMBRO%2024%20A%20AGOSTO%2025%20%20CONS&#211;RCIOS.xlsx" TargetMode="External"/><Relationship Id="rId1" Type="http://schemas.openxmlformats.org/officeDocument/2006/relationships/externalLinkPath" Target="/GECON/C&#226;mara%20de%20Compensa&#231;&#227;o%20Tarif&#225;ria/Subs&#237;dio%20TranScol%20Social%202025/RECEITA%20ALTERNATIVA%202025/09%20SETEMBRO%202025/09%20RECEITAS%20ALTERNATIVAS%20SETEMBRO%20-%2025%20-%20REMUNERA&#199;&#195;O%20PER&#205;ODO%20SETEMBRO%2024%20A%20AGOSTO%2025%20%20CONS&#211;RCIOS.xlsx" TargetMode="External"/></Relationships>
</file>

<file path=xl/externalLinks/_rels/externalLink2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V:\GECON\C&#226;mara%20de%20Compensa&#231;&#227;o%20Tarif&#225;ria\Subs&#237;dio%20TranScol%20Social%202025\RECEITA%20ALTERNATIVA%202025\10%20OUTUBRO%202025\10%20RECEITAS%20ALTERNATIVAS%20OUTUBRO%20-%2025%20-%20REMUNERA&#199;&#195;O%20PER&#205;ODO%20OUTUBRO%2024%20A%20SETEMBRO%2025%20%20CONS&#211;RCIOS.xlsx" TargetMode="External"/><Relationship Id="rId1" Type="http://schemas.openxmlformats.org/officeDocument/2006/relationships/externalLinkPath" Target="/GECON/C&#226;mara%20de%20Compensa&#231;&#227;o%20Tarif&#225;ria/Subs&#237;dio%20TranScol%20Social%202025/RECEITA%20ALTERNATIVA%202025/10%20OUTUBRO%202025/10%20RECEITAS%20ALTERNATIVAS%20OUTUBRO%20-%2025%20-%20REMUNERA&#199;&#195;O%20PER&#205;ODO%20OUTUBRO%2024%20A%20SETEMBRO%2025%20%20CONS&#211;RCIOS.xlsx" TargetMode="External"/></Relationships>
</file>

<file path=xl/externalLinks/_rels/externalLink2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V:\GECON\C&#226;mara%20de%20Compensa&#231;&#227;o%20Tarif&#225;ria\Subs&#237;dio%20TranScol%20Social%202025\RECEITA%20ALTERNATIVA%202025\11%20NOVEMBRO%202025\11%20RECEITAS%20ALTERNATIVAS%20NOVEMBRO%20-%2025%20-%20REMUNERA&#199;&#195;O%20PER&#205;ODO%20NOVEMBRO%2024%20A%20OUTUBRO%2025%20%20CONS&#211;RCIOS.xlsx" TargetMode="External"/><Relationship Id="rId1" Type="http://schemas.openxmlformats.org/officeDocument/2006/relationships/externalLinkPath" Target="/GECON/C&#226;mara%20de%20Compensa&#231;&#227;o%20Tarif&#225;ria/Subs&#237;dio%20TranScol%20Social%202025/RECEITA%20ALTERNATIVA%202025/11%20NOVEMBRO%202025/11%20RECEITAS%20ALTERNATIVAS%20NOVEMBRO%20-%2025%20-%20REMUNERA&#199;&#195;O%20PER&#205;ODO%20NOVEMBRO%2024%20A%20OUTUBRO%2025%20%20CONS&#211;RCIOS.xlsx" TargetMode="External"/></Relationships>
</file>

<file path=xl/externalLinks/_rels/externalLink2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V:\GECON\C&#226;mara%20de%20Compensa&#231;&#227;o%20Tarif&#225;ria\Subs&#237;dio%20TranScol%20Social%202025\RECEITA%20ALTERNATIVA%202025\12%20DEZEMBRO%202025\12%20RECEITAS%20ALTERNATIVAS%20JANEIRO%20-%2026%20-%20REMUNERA&#199;&#195;O%20PER&#205;ODO%20DEZEMBRO%2024%20A%20NOVEMBRO%2025%20%20CONS&#211;RCIOS.xlsx" TargetMode="External"/><Relationship Id="rId1" Type="http://schemas.openxmlformats.org/officeDocument/2006/relationships/externalLinkPath" Target="/GECON/C&#226;mara%20de%20Compensa&#231;&#227;o%20Tarif&#225;ria/Subs&#237;dio%20TranScol%20Social%202025/RECEITA%20ALTERNATIVA%202025/12%20DEZEMBRO%202025/12%20RECEITAS%20ALTERNATIVAS%20JANEIRO%20-%2026%20-%20REMUNERA&#199;&#195;O%20PER&#205;ODO%20DEZEMBRO%2024%20A%20NOVEMBRO%2025%20%20CONS&#211;RCIOS.xlsx" TargetMode="External"/></Relationships>
</file>

<file path=xl/externalLinks/_rels/externalLink2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V:\TROCAS\1%20PERMANENTE\MARCELO%20GECON\COMPOSI&#199;&#195;O%20DE%20FROTA\FROTA%202025\2025-01-02%20-%20Janeiro\2025-01-02%20-%20Composi&#231;&#227;o%20de%20Frota%20-%20CETURB.xlsm" TargetMode="External"/><Relationship Id="rId1" Type="http://schemas.openxmlformats.org/officeDocument/2006/relationships/externalLinkPath" Target="/TROCAS/1%20PERMANENTE/MARCELO%20GECON/COMPOSI&#199;&#195;O%20DE%20FROTA/FROTA%202025/2025-01-02%20-%20Janeiro/2025-01-02%20-%20Composi&#231;&#227;o%20de%20Frota%20-%20CETURB.xlsm" TargetMode="External"/></Relationships>
</file>

<file path=xl/externalLinks/_rels/externalLink2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V:\TROCAS\1%20PERMANENTE\MARCELO%20GECON\COMPOSI&#199;&#195;O%20DE%20FROTA\FROTA%202025\2025-02-03%20-%20Fevereiro\2025-02-03%20-%20Composi&#231;&#227;o%20de%20Frota%20-%20CETURB%20Rev%2001.xlsm" TargetMode="External"/><Relationship Id="rId1" Type="http://schemas.openxmlformats.org/officeDocument/2006/relationships/externalLinkPath" Target="/TROCAS/1%20PERMANENTE/MARCELO%20GECON/COMPOSI&#199;&#195;O%20DE%20FROTA/FROTA%202025/2025-02-03%20-%20Fevereiro/2025-02-03%20-%20Composi&#231;&#227;o%20de%20Frota%20-%20CETURB%20Rev%2001.xlsm" TargetMode="External"/></Relationships>
</file>

<file path=xl/externalLinks/_rels/externalLink2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V:\TROCAS\1%20PERMANENTE\MARCELO%20GECON\COMPOSI&#199;&#195;O%20DE%20FROTA\FROTA%202025\2025-03-06%20-%20Mar&#231;o\2025-03-06%20-%20Composi&#231;&#227;o%20de%20Frota%20-%20CETURB%20-%20Rev1.xlsm" TargetMode="External"/><Relationship Id="rId1" Type="http://schemas.openxmlformats.org/officeDocument/2006/relationships/externalLinkPath" Target="/TROCAS/1%20PERMANENTE/MARCELO%20GECON/COMPOSI&#199;&#195;O%20DE%20FROTA/FROTA%202025/2025-03-06%20-%20Mar&#231;o/2025-03-06%20-%20Composi&#231;&#227;o%20de%20Frota%20-%20CETURB%20-%20Rev1.xlsm" TargetMode="External"/></Relationships>
</file>

<file path=xl/externalLinks/_rels/externalLink27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V:\TROCAS\1%20PERMANENTE\MARCELO%20GECON\COMPOSI&#199;&#195;O%20DE%20FROTA\FROTA%202025\2025-04-01%20-%20Abril\2025-04-01%20-%20Composi&#231;&#227;o%20de%20Frota%20-%20CETURB%20-%20Rev1.xlsm" TargetMode="External"/><Relationship Id="rId1" Type="http://schemas.openxmlformats.org/officeDocument/2006/relationships/externalLinkPath" Target="/TROCAS/1%20PERMANENTE/MARCELO%20GECON/COMPOSI&#199;&#195;O%20DE%20FROTA/FROTA%202025/2025-04-01%20-%20Abril/2025-04-01%20-%20Composi&#231;&#227;o%20de%20Frota%20-%20CETURB%20-%20Rev1.xlsm" TargetMode="External"/></Relationships>
</file>

<file path=xl/externalLinks/_rels/externalLink28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V:\TROCAS\1%20PERMANENTE\MARCELO%20GECON\COMPOSI&#199;&#195;O%20DE%20FROTA\FROTA%202025\2025-05-02%20-%20Maio\2025-05-02%20-%20Composi&#231;&#227;o%20de%20Frota%20-%20CETURB%20-%20Rev%2001.xlsm" TargetMode="External"/><Relationship Id="rId1" Type="http://schemas.openxmlformats.org/officeDocument/2006/relationships/externalLinkPath" Target="/TROCAS/1%20PERMANENTE/MARCELO%20GECON/COMPOSI&#199;&#195;O%20DE%20FROTA/FROTA%202025/2025-05-02%20-%20Maio/2025-05-02%20-%20Composi&#231;&#227;o%20de%20Frota%20-%20CETURB%20-%20Rev%2001.xlsm" TargetMode="External"/></Relationships>
</file>

<file path=xl/externalLinks/_rels/externalLink29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V:\TROCAS\1%20PERMANENTE\MARCELO%20GECON\COMPOSI&#199;&#195;O%20DE%20FROTA\FROTA%202025\2025-06-02%20-%20Junho\2025-06-02%20-%20Composi&#231;&#227;o%20de%20Frota%20-%20CETURB.xlsm" TargetMode="External"/><Relationship Id="rId1" Type="http://schemas.openxmlformats.org/officeDocument/2006/relationships/externalLinkPath" Target="/TROCAS/1%20PERMANENTE/MARCELO%20GECON/COMPOSI&#199;&#195;O%20DE%20FROTA/FROTA%202025/2025-06-02%20-%20Junho/2025-06-02%20-%20Composi&#231;&#227;o%20de%20Frota%20-%20CETURB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GECON/Estatist/REMAR25/Camara.xls" TargetMode="External"/></Relationships>
</file>

<file path=xl/externalLinks/_rels/externalLink30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V:\TROCAS\1%20PERMANENTE\MARCELO%20GECON\COMPOSI&#199;&#195;O%20DE%20FROTA\FROTA%202025\2025-07-01%20-%20Julho\2025-07-01%20-%20Composi&#231;&#227;o%20de%20Frota%20-%20CETURB.xlsm" TargetMode="External"/><Relationship Id="rId1" Type="http://schemas.openxmlformats.org/officeDocument/2006/relationships/externalLinkPath" Target="/TROCAS/1%20PERMANENTE/MARCELO%20GECON/COMPOSI&#199;&#195;O%20DE%20FROTA/FROTA%202025/2025-07-01%20-%20Julho/2025-07-01%20-%20Composi&#231;&#227;o%20de%20Frota%20-%20CETURB.xlsm" TargetMode="External"/></Relationships>
</file>

<file path=xl/externalLinks/_rels/externalLink3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V:\TROCAS\1%20PERMANENTE\MARCELO%20GECON\COMPOSI&#199;&#195;O%20DE%20FROTA\FROTA%202025\2025-08-01%20-%20Agosto\2025-08-01%20-%20Composi&#231;&#227;o%20de%20Frota%20-%20CETURB.xlsm" TargetMode="External"/><Relationship Id="rId1" Type="http://schemas.openxmlformats.org/officeDocument/2006/relationships/externalLinkPath" Target="/TROCAS/1%20PERMANENTE/MARCELO%20GECON/COMPOSI&#199;&#195;O%20DE%20FROTA/FROTA%202025/2025-08-01%20-%20Agosto/2025-08-01%20-%20Composi&#231;&#227;o%20de%20Frota%20-%20CETURB.xlsm" TargetMode="External"/></Relationships>
</file>

<file path=xl/externalLinks/_rels/externalLink3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V:\TROCAS\1%20PERMANENTE\MARCELO%20GECON\COMPOSI&#199;&#195;O%20DE%20FROTA\FROTA%202025\2025-09-01%20-%20Setembro\2025-09-01%20-%20Composi&#231;&#227;o%20de%20Frota%20-%20CETURB.xlsm" TargetMode="External"/><Relationship Id="rId1" Type="http://schemas.openxmlformats.org/officeDocument/2006/relationships/externalLinkPath" Target="/TROCAS/1%20PERMANENTE/MARCELO%20GECON/COMPOSI&#199;&#195;O%20DE%20FROTA/FROTA%202025/2025-09-01%20-%20Setembro/2025-09-01%20-%20Composi&#231;&#227;o%20de%20Frota%20-%20CETURB.xlsm" TargetMode="External"/></Relationships>
</file>

<file path=xl/externalLinks/_rels/externalLink3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V:\TROCAS\1%20PERMANENTE\MARCELO%20GECON\COMPOSI&#199;&#195;O%20DE%20FROTA\FROTA%202025\2025-10-02%20-%20Composi&#231;&#227;o%20de%20Frota%20-%20Outubro.xlsm" TargetMode="External"/><Relationship Id="rId1" Type="http://schemas.openxmlformats.org/officeDocument/2006/relationships/externalLinkPath" Target="/TROCAS/1%20PERMANENTE/MARCELO%20GECON/COMPOSI&#199;&#195;O%20DE%20FROTA/FROTA%202025/2025-10-02%20-%20Composi&#231;&#227;o%20de%20Frota%20-%20Outubro.xlsm" TargetMode="External"/></Relationships>
</file>

<file path=xl/externalLinks/_rels/externalLink3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V:\TROCAS\1%20PERMANENTE\MARCELO%20GECON\COMPOSI&#199;&#195;O%20DE%20FROTA\FROTA%202025\2025-11-03%20-%20Composi&#231;&#227;o%20de%20Frota%20-%20Novembro.xlsm" TargetMode="External"/><Relationship Id="rId1" Type="http://schemas.openxmlformats.org/officeDocument/2006/relationships/externalLinkPath" Target="/TROCAS/1%20PERMANENTE/MARCELO%20GECON/COMPOSI&#199;&#195;O%20DE%20FROTA/FROTA%202025/2025-11-03%20-%20Composi&#231;&#227;o%20de%20Frota%20-%20Novembro.xlsm" TargetMode="External"/></Relationships>
</file>

<file path=xl/externalLinks/_rels/externalLink3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V:\TROCAS\1%20PERMANENTE\MARCELO%20GECON\COMPOSI&#199;&#195;O%20DE%20FROTA\FROTA%202026\2026-01-09%20-%20Composi&#231;&#227;o%20de%20Frota%20-%20Janeiro.xlsm" TargetMode="External"/><Relationship Id="rId1" Type="http://schemas.openxmlformats.org/officeDocument/2006/relationships/externalLinkPath" Target="/TROCAS/1%20PERMANENTE/MARCELO%20GECON/COMPOSI&#199;&#195;O%20DE%20FROTA/FROTA%202026/2026-01-09%20-%20Composi&#231;&#227;o%20de%20Frota%20-%20Janeiro.xlsm" TargetMode="External"/></Relationships>
</file>

<file path=xl/externalLinks/_rels/externalLink3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V:\TROCAS\1%20PERMANENTE\MARCELO%20GECON\COMPOSI&#199;&#195;O%20DE%20FROTA\FROTA%202025\2025-01-02%20-%20Janeiro\2025-01-02%20-%20Composi&#231;&#227;o%20de%20Frota%20-%20CETURB%20-%20Rev01.xlsm" TargetMode="External"/><Relationship Id="rId1" Type="http://schemas.openxmlformats.org/officeDocument/2006/relationships/externalLinkPath" Target="/TROCAS/1%20PERMANENTE/MARCELO%20GECON/COMPOSI&#199;&#195;O%20DE%20FROTA/FROTA%202025/2025-01-02%20-%20Janeiro/2025-01-02%20-%20Composi&#231;&#227;o%20de%20Frota%20-%20CETURB%20-%20Rev01.xlsm" TargetMode="External"/></Relationships>
</file>

<file path=xl/externalLinks/_rels/externalLink37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V:\TROCAS\1%20PERMANENTE\MARCELO%20GECON\COMPOSI&#199;&#195;O%20DE%20FROTA\FROTA%202025\2025-03-06%20-%20Mar&#231;o\2025-03-06%20-%20Composi&#231;&#227;o%20de%20Frota%20-%20CETURB.xlsm" TargetMode="External"/><Relationship Id="rId1" Type="http://schemas.openxmlformats.org/officeDocument/2006/relationships/externalLinkPath" Target="/TROCAS/1%20PERMANENTE/MARCELO%20GECON/COMPOSI&#199;&#195;O%20DE%20FROTA/FROTA%202025/2025-03-06%20-%20Mar&#231;o/2025-03-06%20-%20Composi&#231;&#227;o%20de%20Frota%20-%20CETURB.xlsm" TargetMode="External"/></Relationships>
</file>

<file path=xl/externalLinks/_rels/externalLink38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V:\TROCAS\1%20PERMANENTE\MARCELO%20GECON\COMPOSI&#199;&#195;O%20DE%20FROTA\FROTA%202025\2025-02-03%20-%20Fevereiro\2025-02-03%20-%20Composi&#231;&#227;o%20de%20Frota%20-%20CETURB.xlsm" TargetMode="External"/><Relationship Id="rId1" Type="http://schemas.openxmlformats.org/officeDocument/2006/relationships/externalLinkPath" Target="/TROCAS/1%20PERMANENTE/MARCELO%20GECON/COMPOSI&#199;&#195;O%20DE%20FROTA/FROTA%202025/2025-02-03%20-%20Fevereiro/2025-02-03%20-%20Composi&#231;&#227;o%20de%20Frota%20-%20CETURB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GECON/Estatist/REABR25/Camara.xls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V:\GECON\Estatist\REMAI25\Camara.xls" TargetMode="External"/><Relationship Id="rId1" Type="http://schemas.openxmlformats.org/officeDocument/2006/relationships/externalLinkPath" Target="/GECON/Estatist/REMAI25/Camara.xls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V:\GECON\Estatist\REJUN%2025\Camara.xls" TargetMode="External"/><Relationship Id="rId1" Type="http://schemas.openxmlformats.org/officeDocument/2006/relationships/externalLinkPath" Target="/GECON/Estatist/REJUN%2025/Camara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GECON/Estatist/REJUL25/Camara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GECON/Estatist/REAGO25/Camara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GECON/Estatist/RESET25/Camar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999"/>
      <sheetName val="2000"/>
      <sheetName val="2001"/>
      <sheetName val="2002"/>
      <sheetName val="Gráf1"/>
      <sheetName val="Gráf2"/>
      <sheetName val="Gráf3"/>
      <sheetName val="Gráf4"/>
      <sheetName val="Plan1"/>
      <sheetName val="dados par TC"/>
      <sheetName val="2002 (2)"/>
      <sheetName val="Comparativo 2001-2000-1999"/>
      <sheetName val="2003"/>
      <sheetName val="2004"/>
      <sheetName val="2005"/>
      <sheetName val="2006"/>
      <sheetName val="2007"/>
      <sheetName val="2008"/>
      <sheetName val="2009"/>
      <sheetName val="2010"/>
      <sheetName val="2011"/>
      <sheetName val="2012"/>
      <sheetName val="2013"/>
      <sheetName val="2014"/>
      <sheetName val="2015"/>
      <sheetName val="2016"/>
      <sheetName val="2017"/>
      <sheetName val="2018"/>
      <sheetName val="2019"/>
      <sheetName val="2020"/>
      <sheetName val="2021"/>
      <sheetName val="2022"/>
      <sheetName val="2023"/>
      <sheetName val="2024"/>
      <sheetName val="2025"/>
      <sheetName val="2026"/>
      <sheetName val="COMP DEMXKM"/>
      <sheetName val="COMP DEMXKM (2)"/>
      <sheetName val="ACUM 2018 A 2023"/>
      <sheetName val="Evol DemxKm"/>
      <sheetName val="Evol DemxKm (2)"/>
      <sheetName val="VAR% DEMTIPO"/>
      <sheetName val="Evol.Dem Anual"/>
      <sheetName val="Evol.km Anu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31">
          <cell r="B31">
            <v>12578800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5">
          <cell r="C5">
            <v>36602655.700000003</v>
          </cell>
          <cell r="D5">
            <v>38613263.380000003</v>
          </cell>
          <cell r="E5">
            <v>37632841.899999999</v>
          </cell>
          <cell r="F5">
            <v>39887435.810000002</v>
          </cell>
          <cell r="G5">
            <v>38007381.539999999</v>
          </cell>
          <cell r="H5">
            <v>40941950.109999999</v>
          </cell>
          <cell r="I5">
            <v>40418795.57</v>
          </cell>
          <cell r="J5">
            <v>40041393.590000004</v>
          </cell>
          <cell r="K5">
            <v>41650913.590000004</v>
          </cell>
          <cell r="L5">
            <v>37840475.479999997</v>
          </cell>
          <cell r="M5">
            <v>39544364.170000002</v>
          </cell>
        </row>
        <row r="14">
          <cell r="C14">
            <v>3858190.66</v>
          </cell>
          <cell r="D14">
            <v>4070123.6599999997</v>
          </cell>
          <cell r="E14">
            <v>3966780.0199999996</v>
          </cell>
          <cell r="F14">
            <v>4203749.79</v>
          </cell>
          <cell r="G14">
            <v>4006259.19</v>
          </cell>
          <cell r="H14">
            <v>4315584.4800000004</v>
          </cell>
          <cell r="I14">
            <v>4260440.0200000005</v>
          </cell>
          <cell r="J14">
            <v>4220659.08</v>
          </cell>
          <cell r="K14">
            <v>4390314.41</v>
          </cell>
          <cell r="L14">
            <v>3988666.1</v>
          </cell>
          <cell r="M14">
            <v>4168268.63</v>
          </cell>
        </row>
        <row r="15">
          <cell r="C15">
            <v>149402</v>
          </cell>
          <cell r="D15">
            <v>157983</v>
          </cell>
          <cell r="E15">
            <v>154547.5</v>
          </cell>
          <cell r="F15">
            <v>163350.5</v>
          </cell>
          <cell r="G15">
            <v>155313.5</v>
          </cell>
          <cell r="H15">
            <v>167300</v>
          </cell>
          <cell r="I15">
            <v>165173</v>
          </cell>
          <cell r="J15">
            <v>164884</v>
          </cell>
          <cell r="K15">
            <v>171362</v>
          </cell>
          <cell r="L15">
            <v>154796</v>
          </cell>
          <cell r="M15">
            <v>162267.5</v>
          </cell>
        </row>
        <row r="30">
          <cell r="C30">
            <v>3158279</v>
          </cell>
          <cell r="D30">
            <v>3166830</v>
          </cell>
          <cell r="E30">
            <v>3098963</v>
          </cell>
          <cell r="F30">
            <v>3291591</v>
          </cell>
          <cell r="G30">
            <v>3096922</v>
          </cell>
          <cell r="H30">
            <v>3398704</v>
          </cell>
          <cell r="I30">
            <v>3292968</v>
          </cell>
          <cell r="J30">
            <v>3299777</v>
          </cell>
          <cell r="K30">
            <v>3449191</v>
          </cell>
          <cell r="L30">
            <v>3028903</v>
          </cell>
          <cell r="M30">
            <v>2967680</v>
          </cell>
        </row>
        <row r="33">
          <cell r="B33">
            <v>72902</v>
          </cell>
          <cell r="C33">
            <v>167013</v>
          </cell>
          <cell r="D33">
            <v>232944</v>
          </cell>
          <cell r="E33">
            <v>257183</v>
          </cell>
          <cell r="F33">
            <v>315439</v>
          </cell>
          <cell r="G33">
            <v>296039</v>
          </cell>
          <cell r="H33">
            <v>212200</v>
          </cell>
          <cell r="I33">
            <v>312664</v>
          </cell>
          <cell r="J33">
            <v>305346</v>
          </cell>
          <cell r="K33">
            <v>346589</v>
          </cell>
          <cell r="L33">
            <v>295490</v>
          </cell>
          <cell r="M33">
            <v>168078</v>
          </cell>
        </row>
        <row r="34">
          <cell r="B34">
            <v>2794</v>
          </cell>
          <cell r="C34">
            <v>109189</v>
          </cell>
          <cell r="D34">
            <v>192637</v>
          </cell>
          <cell r="E34">
            <v>226702</v>
          </cell>
          <cell r="F34">
            <v>235496</v>
          </cell>
          <cell r="G34">
            <v>235939</v>
          </cell>
          <cell r="H34">
            <v>150653</v>
          </cell>
          <cell r="I34">
            <v>253684</v>
          </cell>
          <cell r="J34">
            <v>248128</v>
          </cell>
          <cell r="K34">
            <v>271773</v>
          </cell>
          <cell r="L34">
            <v>211173</v>
          </cell>
          <cell r="M34">
            <v>66809</v>
          </cell>
        </row>
        <row r="35">
          <cell r="C35">
            <v>100454</v>
          </cell>
          <cell r="D35">
            <v>99963</v>
          </cell>
          <cell r="E35">
            <v>99726</v>
          </cell>
          <cell r="F35">
            <v>103572</v>
          </cell>
          <cell r="G35">
            <v>101241</v>
          </cell>
          <cell r="H35">
            <v>103786</v>
          </cell>
          <cell r="I35">
            <v>107018</v>
          </cell>
          <cell r="J35">
            <v>105268</v>
          </cell>
          <cell r="K35">
            <v>110219</v>
          </cell>
          <cell r="L35">
            <v>102635</v>
          </cell>
          <cell r="M35">
            <v>97908</v>
          </cell>
        </row>
        <row r="36">
          <cell r="C36">
            <v>5</v>
          </cell>
          <cell r="D36">
            <v>11</v>
          </cell>
          <cell r="E36">
            <v>24</v>
          </cell>
          <cell r="F36">
            <v>15</v>
          </cell>
          <cell r="G36">
            <v>14</v>
          </cell>
          <cell r="H36">
            <v>11</v>
          </cell>
          <cell r="I36">
            <v>10</v>
          </cell>
          <cell r="J36">
            <v>12</v>
          </cell>
          <cell r="K36">
            <v>9</v>
          </cell>
          <cell r="L36">
            <v>12</v>
          </cell>
          <cell r="M36">
            <v>6</v>
          </cell>
        </row>
        <row r="37">
          <cell r="C37">
            <v>2614168</v>
          </cell>
          <cell r="D37">
            <v>2471589</v>
          </cell>
          <cell r="E37">
            <v>2437225</v>
          </cell>
          <cell r="F37">
            <v>2513153</v>
          </cell>
          <cell r="G37">
            <v>2336184</v>
          </cell>
          <cell r="H37">
            <v>2515181</v>
          </cell>
          <cell r="I37">
            <v>2471710</v>
          </cell>
          <cell r="J37">
            <v>2436245</v>
          </cell>
          <cell r="K37">
            <v>2548819</v>
          </cell>
          <cell r="L37">
            <v>2323337</v>
          </cell>
          <cell r="M37">
            <v>2332096</v>
          </cell>
        </row>
        <row r="38">
          <cell r="C38">
            <v>500563</v>
          </cell>
          <cell r="D38">
            <v>510083</v>
          </cell>
          <cell r="E38">
            <v>511868</v>
          </cell>
          <cell r="F38">
            <v>526381</v>
          </cell>
          <cell r="G38">
            <v>509339</v>
          </cell>
          <cell r="H38">
            <v>546087</v>
          </cell>
          <cell r="I38">
            <v>547791</v>
          </cell>
          <cell r="J38">
            <v>543852</v>
          </cell>
          <cell r="K38">
            <v>577728</v>
          </cell>
          <cell r="L38">
            <v>541029</v>
          </cell>
          <cell r="M38">
            <v>541598</v>
          </cell>
        </row>
        <row r="39">
          <cell r="C39">
            <v>748</v>
          </cell>
          <cell r="D39">
            <v>605</v>
          </cell>
          <cell r="E39">
            <v>652</v>
          </cell>
          <cell r="F39">
            <v>732</v>
          </cell>
          <cell r="G39">
            <v>647</v>
          </cell>
          <cell r="H39">
            <v>638</v>
          </cell>
          <cell r="I39">
            <v>582</v>
          </cell>
          <cell r="J39">
            <v>626</v>
          </cell>
          <cell r="K39">
            <v>765</v>
          </cell>
          <cell r="L39">
            <v>574</v>
          </cell>
          <cell r="M39">
            <v>730</v>
          </cell>
        </row>
        <row r="40">
          <cell r="C40">
            <v>40263</v>
          </cell>
          <cell r="D40">
            <v>40306</v>
          </cell>
          <cell r="E40">
            <v>41423</v>
          </cell>
          <cell r="F40">
            <v>44471</v>
          </cell>
          <cell r="G40">
            <v>41952</v>
          </cell>
          <cell r="H40">
            <v>46611</v>
          </cell>
          <cell r="I40">
            <v>47479</v>
          </cell>
          <cell r="J40">
            <v>48870</v>
          </cell>
          <cell r="K40">
            <v>54086</v>
          </cell>
          <cell r="L40">
            <v>47438</v>
          </cell>
          <cell r="M40">
            <v>44381</v>
          </cell>
        </row>
        <row r="45">
          <cell r="C45">
            <v>45469106.68</v>
          </cell>
          <cell r="D45">
            <v>47879701.659999996</v>
          </cell>
          <cell r="E45">
            <v>46691305.100000001</v>
          </cell>
          <cell r="F45">
            <v>49296690.189999998</v>
          </cell>
          <cell r="G45">
            <v>46800667.130000003</v>
          </cell>
          <cell r="H45">
            <v>50642716.659999996</v>
          </cell>
          <cell r="I45">
            <v>49725283.880000003</v>
          </cell>
          <cell r="J45">
            <v>49550330.57</v>
          </cell>
          <cell r="K45">
            <v>51609020.009999998</v>
          </cell>
          <cell r="L45">
            <v>46821620.210000001</v>
          </cell>
          <cell r="M45">
            <v>49446963.549999997</v>
          </cell>
        </row>
        <row r="54">
          <cell r="C54">
            <v>4587001.07</v>
          </cell>
          <cell r="D54">
            <v>4830186.0199999996</v>
          </cell>
          <cell r="E54">
            <v>4710298.51</v>
          </cell>
          <cell r="F54">
            <v>4972902.97</v>
          </cell>
          <cell r="G54">
            <v>4721331.1300000008</v>
          </cell>
          <cell r="H54">
            <v>5108923.6399999997</v>
          </cell>
          <cell r="I54">
            <v>5016371.46</v>
          </cell>
          <cell r="J54">
            <v>4998721.8599999994</v>
          </cell>
          <cell r="K54">
            <v>5206406.1100000003</v>
          </cell>
          <cell r="L54">
            <v>4723445.01</v>
          </cell>
          <cell r="M54">
            <v>4988294.04</v>
          </cell>
        </row>
        <row r="55">
          <cell r="C55">
            <v>146516.5</v>
          </cell>
          <cell r="D55">
            <v>154055.5</v>
          </cell>
          <cell r="E55">
            <v>150053.5</v>
          </cell>
          <cell r="F55">
            <v>158814</v>
          </cell>
          <cell r="G55">
            <v>150853</v>
          </cell>
          <cell r="H55">
            <v>163189.5</v>
          </cell>
          <cell r="I55">
            <v>160293.5</v>
          </cell>
          <cell r="J55">
            <v>160352.5</v>
          </cell>
          <cell r="K55">
            <v>166747.5</v>
          </cell>
          <cell r="L55">
            <v>150589</v>
          </cell>
          <cell r="M55">
            <v>159284</v>
          </cell>
        </row>
        <row r="70">
          <cell r="C70">
            <v>3335225</v>
          </cell>
          <cell r="D70">
            <v>3326869</v>
          </cell>
          <cell r="E70">
            <v>3256624</v>
          </cell>
          <cell r="F70">
            <v>3503014</v>
          </cell>
          <cell r="G70">
            <v>3272678</v>
          </cell>
          <cell r="H70">
            <v>3622184</v>
          </cell>
          <cell r="I70">
            <v>3501467</v>
          </cell>
          <cell r="J70">
            <v>3477948</v>
          </cell>
          <cell r="K70">
            <v>3662664</v>
          </cell>
          <cell r="L70">
            <v>3220959</v>
          </cell>
          <cell r="M70">
            <v>3217902</v>
          </cell>
        </row>
        <row r="73">
          <cell r="C73">
            <v>204516</v>
          </cell>
          <cell r="D73">
            <v>262036</v>
          </cell>
          <cell r="E73">
            <v>276465</v>
          </cell>
          <cell r="F73">
            <v>365302</v>
          </cell>
          <cell r="G73">
            <v>341015</v>
          </cell>
          <cell r="H73">
            <v>254077</v>
          </cell>
          <cell r="I73">
            <v>347448</v>
          </cell>
          <cell r="J73">
            <v>323309</v>
          </cell>
          <cell r="K73">
            <v>390234</v>
          </cell>
          <cell r="L73">
            <v>337457</v>
          </cell>
          <cell r="M73">
            <v>206314</v>
          </cell>
        </row>
        <row r="74">
          <cell r="C74">
            <v>128560</v>
          </cell>
          <cell r="D74">
            <v>218529</v>
          </cell>
          <cell r="E74">
            <v>251371</v>
          </cell>
          <cell r="F74">
            <v>264553</v>
          </cell>
          <cell r="G74">
            <v>259877</v>
          </cell>
          <cell r="H74">
            <v>166212</v>
          </cell>
          <cell r="I74">
            <v>284003</v>
          </cell>
          <cell r="J74">
            <v>267841</v>
          </cell>
          <cell r="K74">
            <v>296769</v>
          </cell>
          <cell r="L74">
            <v>235874</v>
          </cell>
          <cell r="M74">
            <v>80089</v>
          </cell>
        </row>
        <row r="75">
          <cell r="C75">
            <v>132599</v>
          </cell>
          <cell r="D75">
            <v>133150</v>
          </cell>
          <cell r="E75">
            <v>133398</v>
          </cell>
          <cell r="F75">
            <v>138287</v>
          </cell>
          <cell r="G75">
            <v>131082</v>
          </cell>
          <cell r="H75">
            <v>136788</v>
          </cell>
          <cell r="I75">
            <v>140061</v>
          </cell>
          <cell r="J75">
            <v>136401</v>
          </cell>
          <cell r="K75">
            <v>143002</v>
          </cell>
          <cell r="L75">
            <v>132419</v>
          </cell>
          <cell r="M75">
            <v>127055</v>
          </cell>
        </row>
        <row r="76">
          <cell r="C76">
            <v>124</v>
          </cell>
          <cell r="D76">
            <v>198</v>
          </cell>
          <cell r="E76">
            <v>286</v>
          </cell>
          <cell r="F76">
            <v>294</v>
          </cell>
          <cell r="G76">
            <v>305</v>
          </cell>
          <cell r="H76">
            <v>297</v>
          </cell>
          <cell r="I76">
            <v>227</v>
          </cell>
          <cell r="J76">
            <v>317</v>
          </cell>
          <cell r="K76">
            <v>220</v>
          </cell>
          <cell r="L76">
            <v>253</v>
          </cell>
          <cell r="M76">
            <v>193</v>
          </cell>
        </row>
        <row r="77">
          <cell r="C77">
            <v>2750443</v>
          </cell>
          <cell r="D77">
            <v>2594787</v>
          </cell>
          <cell r="E77">
            <v>2549368</v>
          </cell>
          <cell r="F77">
            <v>2658968</v>
          </cell>
          <cell r="G77">
            <v>2444121</v>
          </cell>
          <cell r="H77">
            <v>2649983</v>
          </cell>
          <cell r="I77">
            <v>2588604</v>
          </cell>
          <cell r="J77">
            <v>2534777</v>
          </cell>
          <cell r="K77">
            <v>2664288</v>
          </cell>
          <cell r="L77">
            <v>2431335</v>
          </cell>
          <cell r="M77">
            <v>2465428</v>
          </cell>
        </row>
        <row r="78">
          <cell r="C78">
            <v>619940</v>
          </cell>
          <cell r="D78">
            <v>635970</v>
          </cell>
          <cell r="E78">
            <v>629796</v>
          </cell>
          <cell r="F78">
            <v>661796</v>
          </cell>
          <cell r="G78">
            <v>640341</v>
          </cell>
          <cell r="H78">
            <v>693870</v>
          </cell>
          <cell r="I78">
            <v>685632</v>
          </cell>
          <cell r="J78">
            <v>677087</v>
          </cell>
          <cell r="K78">
            <v>722918</v>
          </cell>
          <cell r="L78">
            <v>674876</v>
          </cell>
          <cell r="M78">
            <v>683667</v>
          </cell>
        </row>
        <row r="79">
          <cell r="C79">
            <v>1577</v>
          </cell>
          <cell r="D79">
            <v>1520</v>
          </cell>
          <cell r="E79">
            <v>1445</v>
          </cell>
          <cell r="F79">
            <v>1401</v>
          </cell>
          <cell r="G79">
            <v>1540</v>
          </cell>
          <cell r="H79">
            <v>1722</v>
          </cell>
          <cell r="I79">
            <v>1680</v>
          </cell>
          <cell r="J79">
            <v>1745</v>
          </cell>
          <cell r="K79">
            <v>1772</v>
          </cell>
          <cell r="L79">
            <v>1415</v>
          </cell>
          <cell r="M79">
            <v>1728</v>
          </cell>
        </row>
        <row r="80">
          <cell r="C80">
            <v>45627</v>
          </cell>
          <cell r="D80">
            <v>44581</v>
          </cell>
          <cell r="E80">
            <v>44802</v>
          </cell>
          <cell r="F80">
            <v>47324</v>
          </cell>
          <cell r="G80">
            <v>44494</v>
          </cell>
          <cell r="H80">
            <v>49081</v>
          </cell>
          <cell r="I80">
            <v>49210</v>
          </cell>
          <cell r="J80">
            <v>49906</v>
          </cell>
          <cell r="K80">
            <v>53141</v>
          </cell>
          <cell r="L80">
            <v>47449</v>
          </cell>
          <cell r="M80">
            <v>49226</v>
          </cell>
        </row>
        <row r="100">
          <cell r="B100">
            <v>7.1665675193337295</v>
          </cell>
        </row>
        <row r="102">
          <cell r="B102">
            <v>9.9210526315789469</v>
          </cell>
          <cell r="C102">
            <v>9.8461538461538467</v>
          </cell>
          <cell r="D102">
            <v>9.9210526315789469</v>
          </cell>
        </row>
        <row r="104">
          <cell r="B104">
            <v>5.6363636363636367</v>
          </cell>
          <cell r="C104">
            <v>5.6363636363636367</v>
          </cell>
          <cell r="D104">
            <v>5.6363636363636367</v>
          </cell>
        </row>
        <row r="105">
          <cell r="C105">
            <v>7.2052689352360044</v>
          </cell>
          <cell r="D105">
            <v>7.2052689352360044</v>
          </cell>
        </row>
        <row r="109">
          <cell r="B109">
            <v>4.88</v>
          </cell>
          <cell r="C109">
            <v>4.88</v>
          </cell>
          <cell r="D109">
            <v>4.88</v>
          </cell>
        </row>
      </sheetData>
      <sheetData sheetId="35">
        <row r="5">
          <cell r="B5">
            <v>39031470.840000004</v>
          </cell>
        </row>
      </sheetData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CUST"/>
      <sheetName val="REPREC"/>
      <sheetName val="RESUM"/>
    </sheetNames>
    <sheetDataSet>
      <sheetData sheetId="0">
        <row r="6">
          <cell r="K6">
            <v>27718301.760000002</v>
          </cell>
        </row>
        <row r="7">
          <cell r="K7">
            <v>34344091.75</v>
          </cell>
        </row>
      </sheetData>
      <sheetData sheetId="1"/>
      <sheetData sheetId="2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CUST"/>
      <sheetName val="REPREC"/>
      <sheetName val="RESUM"/>
    </sheetNames>
    <sheetDataSet>
      <sheetData sheetId="0">
        <row r="6">
          <cell r="K6">
            <v>24703738.850000001</v>
          </cell>
        </row>
        <row r="7">
          <cell r="K7">
            <v>30566389.469999999</v>
          </cell>
        </row>
      </sheetData>
      <sheetData sheetId="1"/>
      <sheetData sheetId="2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CUST"/>
      <sheetName val="REPREC"/>
      <sheetName val="RESUM"/>
    </sheetNames>
    <sheetDataSet>
      <sheetData sheetId="0">
        <row r="6">
          <cell r="K6">
            <v>24257871.239999998</v>
          </cell>
        </row>
        <row r="7">
          <cell r="K7">
            <v>30313101.699999999</v>
          </cell>
        </row>
      </sheetData>
      <sheetData sheetId="1"/>
      <sheetData sheetId="2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BSÍDIO JANEIRO 2025"/>
      <sheetName val="Plan2"/>
      <sheetName val="Plan3"/>
    </sheetNames>
    <sheetDataSet>
      <sheetData sheetId="0">
        <row r="8">
          <cell r="C8">
            <v>192412.27931517366</v>
          </cell>
        </row>
        <row r="9">
          <cell r="C9">
            <v>236197.04268170134</v>
          </cell>
        </row>
      </sheetData>
      <sheetData sheetId="1"/>
      <sheetData sheetId="2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BSÍDIO JANEIRO 2025"/>
      <sheetName val="Plan2"/>
      <sheetName val="Plan3"/>
    </sheetNames>
    <sheetDataSet>
      <sheetData sheetId="0">
        <row r="8">
          <cell r="C8">
            <v>191831.47343183798</v>
          </cell>
        </row>
        <row r="9">
          <cell r="C9">
            <v>235681.02670149534</v>
          </cell>
        </row>
      </sheetData>
      <sheetData sheetId="1"/>
      <sheetData sheetId="2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BSÍDIO JANEIRO 2025"/>
      <sheetName val="Plan2"/>
      <sheetName val="Plan3"/>
    </sheetNames>
    <sheetDataSet>
      <sheetData sheetId="0">
        <row r="8">
          <cell r="C8">
            <v>191009.14194914777</v>
          </cell>
        </row>
        <row r="9">
          <cell r="C9">
            <v>235056.49062689382</v>
          </cell>
        </row>
      </sheetData>
      <sheetData sheetId="1"/>
      <sheetData sheetId="2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BSÍDIO JANEIRO 2025"/>
      <sheetName val="Plan2"/>
      <sheetName val="Plan3"/>
    </sheetNames>
    <sheetDataSet>
      <sheetData sheetId="0">
        <row r="8">
          <cell r="C8">
            <v>189899.94190780816</v>
          </cell>
        </row>
        <row r="9">
          <cell r="C9">
            <v>233956.61198281683</v>
          </cell>
        </row>
      </sheetData>
      <sheetData sheetId="1"/>
      <sheetData sheetId="2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NTRADA DE DADOS "/>
      <sheetName val="VALOR DE SUBSÍDIO"/>
    </sheetNames>
    <sheetDataSet>
      <sheetData sheetId="0">
        <row r="6">
          <cell r="F6">
            <v>63133.301567146584</v>
          </cell>
        </row>
        <row r="7">
          <cell r="F7">
            <v>77895.860406464533</v>
          </cell>
        </row>
      </sheetData>
      <sheetData sheetId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BSÍDIO JANEIRO 2025"/>
      <sheetName val="Plan2"/>
      <sheetName val="Plan3"/>
    </sheetNames>
    <sheetDataSet>
      <sheetData sheetId="0">
        <row r="8">
          <cell r="C8">
            <v>188733.15000000002</v>
          </cell>
        </row>
        <row r="9">
          <cell r="C9">
            <v>232987.05000000002</v>
          </cell>
        </row>
      </sheetData>
      <sheetData sheetId="1"/>
      <sheetData sheetId="2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BSÍDIO JANEIRO 2025"/>
      <sheetName val="Plan2"/>
      <sheetName val="Plan3"/>
    </sheetNames>
    <sheetDataSet>
      <sheetData sheetId="0">
        <row r="8">
          <cell r="C8">
            <v>188381.75141675715</v>
          </cell>
        </row>
        <row r="9">
          <cell r="C9">
            <v>232722.18654990944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CUST"/>
      <sheetName val="REPREC"/>
      <sheetName val="RESUM"/>
    </sheetNames>
    <sheetDataSet>
      <sheetData sheetId="0">
        <row r="6">
          <cell r="K6">
            <v>26124321.329999998</v>
          </cell>
        </row>
        <row r="7">
          <cell r="K7">
            <v>32452846.82</v>
          </cell>
        </row>
      </sheetData>
      <sheetData sheetId="1"/>
      <sheetData sheetId="2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muneração"/>
      <sheetName val="Plan2"/>
    </sheetNames>
    <sheetDataSet>
      <sheetData sheetId="0">
        <row r="6">
          <cell r="P6">
            <v>187886.93368283327</v>
          </cell>
        </row>
        <row r="7">
          <cell r="P7">
            <v>232354.11534112509</v>
          </cell>
        </row>
      </sheetData>
      <sheetData sheetId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muneração"/>
      <sheetName val="Plan2"/>
    </sheetNames>
    <sheetDataSet>
      <sheetData sheetId="0">
        <row r="6">
          <cell r="P6">
            <v>188421.29538243992</v>
          </cell>
        </row>
        <row r="7">
          <cell r="P7">
            <v>233366.89161651838</v>
          </cell>
        </row>
      </sheetData>
      <sheetData sheetId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muneração"/>
      <sheetName val="Plan2"/>
    </sheetNames>
    <sheetDataSet>
      <sheetData sheetId="0">
        <row r="6">
          <cell r="P6">
            <v>189191.50144598872</v>
          </cell>
        </row>
        <row r="7">
          <cell r="P7">
            <v>234547.34910609465</v>
          </cell>
        </row>
      </sheetData>
      <sheetData sheetId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muneração"/>
      <sheetName val="Plan2"/>
    </sheetNames>
    <sheetDataSet>
      <sheetData sheetId="0">
        <row r="6">
          <cell r="P6">
            <v>189931.54329916</v>
          </cell>
        </row>
        <row r="7">
          <cell r="P7">
            <v>235497.28446542335</v>
          </cell>
        </row>
      </sheetData>
      <sheetData sheetId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GECON"/>
      <sheetName val="GEVIS"/>
      <sheetName val="2 - Cadastro de frota"/>
      <sheetName val="1 - Frota Operante GEPLA"/>
      <sheetName val="Aux"/>
    </sheetNames>
    <sheetDataSet>
      <sheetData sheetId="0">
        <row r="5">
          <cell r="G5">
            <v>7.0205761316872426</v>
          </cell>
          <cell r="K5">
            <v>7.09005376344086</v>
          </cell>
        </row>
        <row r="6">
          <cell r="D6">
            <v>1</v>
          </cell>
          <cell r="G6">
            <v>2</v>
          </cell>
        </row>
        <row r="7">
          <cell r="G7">
            <v>2</v>
          </cell>
        </row>
        <row r="8">
          <cell r="G8">
            <v>10.057142857142857</v>
          </cell>
        </row>
        <row r="9">
          <cell r="C9">
            <v>9</v>
          </cell>
          <cell r="G9">
            <v>5.5555555555555554</v>
          </cell>
        </row>
        <row r="14">
          <cell r="G14">
            <v>7.0244173140954498</v>
          </cell>
        </row>
        <row r="15">
          <cell r="G15">
            <v>2</v>
          </cell>
        </row>
        <row r="16">
          <cell r="G16">
            <v>6.36</v>
          </cell>
        </row>
        <row r="17">
          <cell r="G17">
            <v>9.6842105263157894</v>
          </cell>
        </row>
        <row r="18">
          <cell r="G18">
            <v>4.5</v>
          </cell>
        </row>
        <row r="20">
          <cell r="K20">
            <v>7.2956777996070725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GECON"/>
      <sheetName val="GEVIS"/>
      <sheetName val="2 - Cadastro de frota"/>
      <sheetName val="1 - Frota Operante GEPLA"/>
      <sheetName val="Aux"/>
    </sheetNames>
    <sheetDataSet>
      <sheetData sheetId="0">
        <row r="5">
          <cell r="F5">
            <v>729</v>
          </cell>
          <cell r="G5">
            <v>7.0027434842249656</v>
          </cell>
          <cell r="K5">
            <v>7.0807537012113055</v>
          </cell>
        </row>
        <row r="6">
          <cell r="F6">
            <v>1</v>
          </cell>
          <cell r="G6">
            <v>2</v>
          </cell>
        </row>
        <row r="7">
          <cell r="F7">
            <v>14</v>
          </cell>
          <cell r="G7">
            <v>2</v>
          </cell>
        </row>
        <row r="8">
          <cell r="F8">
            <v>36</v>
          </cell>
          <cell r="G8">
            <v>10.194444444444445</v>
          </cell>
        </row>
        <row r="9">
          <cell r="F9">
            <v>9</v>
          </cell>
          <cell r="G9">
            <v>5.5555555555555554</v>
          </cell>
        </row>
        <row r="11">
          <cell r="C11">
            <v>719</v>
          </cell>
        </row>
        <row r="14">
          <cell r="F14">
            <v>901</v>
          </cell>
          <cell r="G14">
            <v>7.059933407325194</v>
          </cell>
        </row>
        <row r="15">
          <cell r="F15">
            <v>1</v>
          </cell>
        </row>
        <row r="16">
          <cell r="F16">
            <v>25</v>
          </cell>
        </row>
        <row r="17">
          <cell r="F17">
            <v>38</v>
          </cell>
        </row>
        <row r="18">
          <cell r="F18">
            <v>16</v>
          </cell>
        </row>
        <row r="20">
          <cell r="C20">
            <v>894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GECON"/>
      <sheetName val="GEVIS"/>
      <sheetName val="2 - Cadastro de frota"/>
      <sheetName val="1 - Frota Operante GEPLA"/>
      <sheetName val="Aux"/>
    </sheetNames>
    <sheetDataSet>
      <sheetData sheetId="0">
        <row r="5">
          <cell r="K5">
            <v>7.0807537012113055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GECON"/>
      <sheetName val="GEVIS"/>
      <sheetName val="2 - Cadastro de frota"/>
      <sheetName val="1 - Frota Operante GEPLA"/>
      <sheetName val="Aux"/>
    </sheetNames>
    <sheetDataSet>
      <sheetData sheetId="0">
        <row r="5">
          <cell r="F5">
            <v>729</v>
          </cell>
          <cell r="G5">
            <v>7.0329218106995883</v>
          </cell>
          <cell r="K5">
            <v>7.0407055630936224</v>
          </cell>
        </row>
        <row r="6">
          <cell r="F6">
            <v>3</v>
          </cell>
          <cell r="G6">
            <v>1.3333333333333333</v>
          </cell>
        </row>
        <row r="7">
          <cell r="F7">
            <v>14</v>
          </cell>
          <cell r="G7">
            <v>2</v>
          </cell>
        </row>
        <row r="8">
          <cell r="F8">
            <v>36</v>
          </cell>
          <cell r="G8">
            <v>10</v>
          </cell>
        </row>
        <row r="9">
          <cell r="F9">
            <v>9</v>
          </cell>
          <cell r="G9">
            <v>5.5555555555555554</v>
          </cell>
        </row>
        <row r="11">
          <cell r="C11">
            <v>720</v>
          </cell>
        </row>
        <row r="14">
          <cell r="F14">
            <v>900</v>
          </cell>
          <cell r="G14">
            <v>7.0677777777777777</v>
          </cell>
        </row>
        <row r="15">
          <cell r="F15">
            <v>2</v>
          </cell>
          <cell r="G15">
            <v>2</v>
          </cell>
        </row>
        <row r="16">
          <cell r="F16">
            <v>25</v>
          </cell>
          <cell r="G16">
            <v>6.36</v>
          </cell>
        </row>
        <row r="17">
          <cell r="F17">
            <v>38</v>
          </cell>
          <cell r="G17">
            <v>9.6842105263157894</v>
          </cell>
        </row>
        <row r="18">
          <cell r="F18">
            <v>16</v>
          </cell>
          <cell r="G18">
            <v>4.5</v>
          </cell>
        </row>
        <row r="20">
          <cell r="C20">
            <v>893</v>
          </cell>
          <cell r="K20">
            <v>7.2886699507389165</v>
          </cell>
        </row>
        <row r="23">
          <cell r="G23">
            <v>7.0521792510742785</v>
          </cell>
        </row>
        <row r="24">
          <cell r="G24">
            <v>1.6</v>
          </cell>
        </row>
        <row r="25">
          <cell r="G25">
            <v>4.7948717948717947</v>
          </cell>
        </row>
        <row r="26">
          <cell r="G26">
            <v>9.8378378378378386</v>
          </cell>
        </row>
        <row r="27">
          <cell r="G27">
            <v>4.88</v>
          </cell>
        </row>
        <row r="29">
          <cell r="G29">
            <v>7.0727990970654631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GECON"/>
      <sheetName val="GEVIS"/>
      <sheetName val="2 - Cadastro de frota"/>
      <sheetName val="1 - Frota Operante GEPLA"/>
      <sheetName val="0 - Frota Operante TRANSCOL +"/>
      <sheetName val="Aux"/>
    </sheetNames>
    <sheetDataSet>
      <sheetData sheetId="0">
        <row r="5">
          <cell r="F5">
            <v>727</v>
          </cell>
          <cell r="G5">
            <v>6.9931224209078406</v>
          </cell>
          <cell r="K5">
            <v>7.0407055630936224</v>
          </cell>
        </row>
        <row r="6">
          <cell r="F6">
            <v>2</v>
          </cell>
          <cell r="G6">
            <v>2</v>
          </cell>
        </row>
        <row r="7">
          <cell r="F7">
            <v>14</v>
          </cell>
          <cell r="G7">
            <v>2</v>
          </cell>
        </row>
        <row r="8">
          <cell r="F8">
            <v>36</v>
          </cell>
          <cell r="G8">
            <v>10.25</v>
          </cell>
        </row>
        <row r="10">
          <cell r="F10">
            <v>15</v>
          </cell>
          <cell r="G10">
            <v>0</v>
          </cell>
        </row>
        <row r="11">
          <cell r="C11">
            <v>726</v>
          </cell>
        </row>
        <row r="14">
          <cell r="F14">
            <v>904</v>
          </cell>
          <cell r="G14">
            <v>7.1039823008849554</v>
          </cell>
        </row>
        <row r="15">
          <cell r="F15">
            <v>2</v>
          </cell>
          <cell r="G15">
            <v>2</v>
          </cell>
        </row>
        <row r="16">
          <cell r="F16">
            <v>25</v>
          </cell>
          <cell r="G16">
            <v>6.84</v>
          </cell>
        </row>
        <row r="17">
          <cell r="F17">
            <v>37</v>
          </cell>
          <cell r="G17">
            <v>9.6756756756756754</v>
          </cell>
        </row>
        <row r="19">
          <cell r="F19">
            <v>15</v>
          </cell>
          <cell r="G19">
            <v>0</v>
          </cell>
        </row>
        <row r="20">
          <cell r="C20">
            <v>896</v>
          </cell>
          <cell r="K20">
            <v>7.1733203505355405</v>
          </cell>
        </row>
        <row r="23">
          <cell r="G23">
            <v>7.0545677498467194</v>
          </cell>
        </row>
        <row r="24">
          <cell r="G24">
            <v>2</v>
          </cell>
        </row>
        <row r="25">
          <cell r="G25">
            <v>5.1025641025641022</v>
          </cell>
        </row>
        <row r="26">
          <cell r="G26">
            <v>9.9589041095890405</v>
          </cell>
        </row>
        <row r="27">
          <cell r="K27">
            <v>4.88</v>
          </cell>
        </row>
        <row r="29">
          <cell r="G29">
            <v>7.0005627462014628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GECON"/>
      <sheetName val="GEVIS"/>
      <sheetName val="2 - Cadastro de frota"/>
      <sheetName val="1 - Frota Operante GEPLA"/>
      <sheetName val="0 - Frota Operante TRANSCOL +"/>
      <sheetName val="Aux"/>
    </sheetNames>
    <sheetDataSet>
      <sheetData sheetId="0">
        <row r="5">
          <cell r="F5">
            <v>730</v>
          </cell>
          <cell r="G5">
            <v>7.0315068493150683</v>
          </cell>
          <cell r="K5">
            <v>7.0326086956521738</v>
          </cell>
        </row>
        <row r="6">
          <cell r="F6">
            <v>2</v>
          </cell>
          <cell r="G6">
            <v>2</v>
          </cell>
        </row>
        <row r="7">
          <cell r="F7">
            <v>14</v>
          </cell>
          <cell r="G7">
            <v>2</v>
          </cell>
        </row>
        <row r="8">
          <cell r="F8">
            <v>36</v>
          </cell>
          <cell r="G8">
            <v>9.8055555555555554</v>
          </cell>
        </row>
        <row r="10">
          <cell r="F10">
            <v>14</v>
          </cell>
          <cell r="G10">
            <v>0</v>
          </cell>
        </row>
        <row r="11">
          <cell r="C11">
            <v>726</v>
          </cell>
        </row>
        <row r="14">
          <cell r="F14">
            <v>905</v>
          </cell>
          <cell r="G14">
            <v>6.9867403314917125</v>
          </cell>
        </row>
        <row r="15">
          <cell r="F15">
            <v>2</v>
          </cell>
          <cell r="G15">
            <v>2</v>
          </cell>
        </row>
        <row r="16">
          <cell r="F16">
            <v>25</v>
          </cell>
          <cell r="G16">
            <v>6.36</v>
          </cell>
        </row>
        <row r="17">
          <cell r="F17">
            <v>36</v>
          </cell>
          <cell r="G17">
            <v>9.6666666666666661</v>
          </cell>
        </row>
        <row r="19">
          <cell r="F19">
            <v>16</v>
          </cell>
          <cell r="G19">
            <v>0</v>
          </cell>
        </row>
        <row r="20">
          <cell r="C20">
            <v>897</v>
          </cell>
          <cell r="K20">
            <v>7.0838264299802765</v>
          </cell>
        </row>
        <row r="23">
          <cell r="G23">
            <v>7.0067278287461772</v>
          </cell>
        </row>
        <row r="24">
          <cell r="G24">
            <v>2</v>
          </cell>
        </row>
        <row r="25">
          <cell r="G25">
            <v>4.7948717948717947</v>
          </cell>
        </row>
        <row r="26">
          <cell r="G26">
            <v>9.7361111111111107</v>
          </cell>
        </row>
        <row r="28">
          <cell r="G28">
            <v>0</v>
          </cell>
        </row>
        <row r="29">
          <cell r="G29">
            <v>6.9393258426966291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CUST"/>
      <sheetName val="REPREC"/>
      <sheetName val="RESUM"/>
    </sheetNames>
    <sheetDataSet>
      <sheetData sheetId="0">
        <row r="6">
          <cell r="K6">
            <v>25742526.129999999</v>
          </cell>
        </row>
        <row r="7">
          <cell r="K7">
            <v>31919651.59</v>
          </cell>
        </row>
      </sheetData>
      <sheetData sheetId="1"/>
      <sheetData sheetId="2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GECON"/>
      <sheetName val="GEVIS"/>
      <sheetName val="2 - Cadastro de frota"/>
      <sheetName val="1 - Frota Operante GEPLA"/>
      <sheetName val="0 - Frota Operante TRANSCOL +"/>
      <sheetName val="Aux"/>
    </sheetNames>
    <sheetDataSet>
      <sheetData sheetId="0">
        <row r="5">
          <cell r="F5">
            <v>732</v>
          </cell>
          <cell r="G5">
            <v>6.6079234972677598</v>
          </cell>
          <cell r="K5">
            <v>6.6765100671140942</v>
          </cell>
        </row>
        <row r="6">
          <cell r="F6">
            <v>2</v>
          </cell>
          <cell r="G6">
            <v>2</v>
          </cell>
        </row>
        <row r="7">
          <cell r="F7">
            <v>14</v>
          </cell>
          <cell r="G7">
            <v>2</v>
          </cell>
        </row>
        <row r="8">
          <cell r="F8">
            <v>36</v>
          </cell>
          <cell r="G8">
            <v>9.8055555555555554</v>
          </cell>
        </row>
        <row r="10">
          <cell r="F10">
            <v>14</v>
          </cell>
          <cell r="G10">
            <v>0</v>
          </cell>
        </row>
        <row r="11">
          <cell r="C11">
            <v>727</v>
          </cell>
        </row>
        <row r="14">
          <cell r="F14">
            <v>905</v>
          </cell>
          <cell r="G14">
            <v>6.6795580110497239</v>
          </cell>
        </row>
        <row r="15">
          <cell r="F15">
            <v>2</v>
          </cell>
          <cell r="G15">
            <v>2</v>
          </cell>
        </row>
        <row r="16">
          <cell r="F16">
            <v>25</v>
          </cell>
          <cell r="G16">
            <v>6.36</v>
          </cell>
        </row>
        <row r="17">
          <cell r="F17">
            <v>35</v>
          </cell>
          <cell r="G17">
            <v>9.4857142857142858</v>
          </cell>
        </row>
        <row r="19">
          <cell r="F19">
            <v>16</v>
          </cell>
        </row>
        <row r="20">
          <cell r="C20">
            <v>897</v>
          </cell>
          <cell r="K20">
            <v>6.8694798822374876</v>
          </cell>
        </row>
        <row r="23">
          <cell r="G23">
            <v>6.6475259621258402</v>
          </cell>
        </row>
        <row r="24">
          <cell r="G24">
            <v>2</v>
          </cell>
        </row>
        <row r="25">
          <cell r="G25">
            <v>4.7948717948717947</v>
          </cell>
        </row>
        <row r="26">
          <cell r="G26">
            <v>9.647887323943662</v>
          </cell>
        </row>
        <row r="28">
          <cell r="G28">
            <v>0</v>
          </cell>
        </row>
        <row r="29">
          <cell r="G29">
            <v>6.6041549691184729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GECON"/>
      <sheetName val="GEVIS"/>
      <sheetName val="2 - Cadastro de frota"/>
      <sheetName val="1 - Frota Operante GEPLA"/>
      <sheetName val="0 - Frota Operante TRANSCOL +"/>
      <sheetName val="Aux"/>
    </sheetNames>
    <sheetDataSet>
      <sheetData sheetId="0">
        <row r="5">
          <cell r="F5">
            <v>738</v>
          </cell>
          <cell r="G5">
            <v>6.2439024390243905</v>
          </cell>
          <cell r="K5">
            <v>6.3275862068965516</v>
          </cell>
        </row>
        <row r="6">
          <cell r="F6">
            <v>2</v>
          </cell>
          <cell r="G6">
            <v>2</v>
          </cell>
        </row>
        <row r="7">
          <cell r="F7">
            <v>14</v>
          </cell>
          <cell r="G7">
            <v>2</v>
          </cell>
        </row>
        <row r="8">
          <cell r="F8">
            <v>36</v>
          </cell>
          <cell r="G8">
            <v>9.8055555555555554</v>
          </cell>
        </row>
        <row r="10">
          <cell r="F10">
            <v>14</v>
          </cell>
          <cell r="G10">
            <v>0</v>
          </cell>
        </row>
        <row r="11">
          <cell r="C11">
            <v>732</v>
          </cell>
        </row>
        <row r="14">
          <cell r="F14">
            <v>913</v>
          </cell>
          <cell r="G14">
            <v>6.3033953997809418</v>
          </cell>
        </row>
        <row r="15">
          <cell r="F15">
            <v>2</v>
          </cell>
          <cell r="G15">
            <v>2</v>
          </cell>
        </row>
        <row r="16">
          <cell r="F16">
            <v>25</v>
          </cell>
          <cell r="G16">
            <v>6.36</v>
          </cell>
        </row>
        <row r="17">
          <cell r="F17">
            <v>37</v>
          </cell>
          <cell r="G17">
            <v>9.6756756756756754</v>
          </cell>
        </row>
        <row r="19">
          <cell r="F19">
            <v>16</v>
          </cell>
          <cell r="G19">
            <v>0</v>
          </cell>
        </row>
        <row r="20">
          <cell r="C20">
            <v>904</v>
          </cell>
          <cell r="K20">
            <v>6.5874396135265698</v>
          </cell>
        </row>
        <row r="23">
          <cell r="G23">
            <v>6.2768019382192612</v>
          </cell>
        </row>
        <row r="24">
          <cell r="G24">
            <v>2</v>
          </cell>
        </row>
        <row r="25">
          <cell r="G25">
            <v>4.7948717948717947</v>
          </cell>
        </row>
        <row r="26">
          <cell r="G26">
            <v>9.7397260273972606</v>
          </cell>
        </row>
        <row r="28">
          <cell r="G28">
            <v>0</v>
          </cell>
        </row>
        <row r="29">
          <cell r="G29">
            <v>6.2710072342793541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GECON"/>
      <sheetName val="GEVIS"/>
      <sheetName val="2 - Cadastro de frota"/>
      <sheetName val="1 - Frota Operante GEPLA"/>
      <sheetName val="0 - Frota Operante TRANSCOL +"/>
      <sheetName val="Aux"/>
    </sheetNames>
    <sheetDataSet>
      <sheetData sheetId="0">
        <row r="5">
          <cell r="F5">
            <v>737</v>
          </cell>
          <cell r="G5">
            <v>6.1804613297150608</v>
          </cell>
          <cell r="K5">
            <v>6.2560321715817695</v>
          </cell>
        </row>
        <row r="6">
          <cell r="F6">
            <v>3</v>
          </cell>
          <cell r="G6">
            <v>2</v>
          </cell>
        </row>
        <row r="7">
          <cell r="F7">
            <v>14</v>
          </cell>
          <cell r="G7">
            <v>2</v>
          </cell>
        </row>
        <row r="8">
          <cell r="F8">
            <v>36</v>
          </cell>
          <cell r="G8">
            <v>5.083333333333333</v>
          </cell>
        </row>
        <row r="10">
          <cell r="F10">
            <v>14</v>
          </cell>
          <cell r="G10">
            <v>0</v>
          </cell>
        </row>
        <row r="11">
          <cell r="C11">
            <v>734</v>
          </cell>
        </row>
        <row r="14">
          <cell r="F14">
            <v>912</v>
          </cell>
          <cell r="G14">
            <v>5.7894736842105265</v>
          </cell>
        </row>
        <row r="15">
          <cell r="F15">
            <v>2</v>
          </cell>
          <cell r="G15">
            <v>2</v>
          </cell>
        </row>
        <row r="16">
          <cell r="F16">
            <v>25</v>
          </cell>
          <cell r="G16">
            <v>5.84</v>
          </cell>
        </row>
        <row r="17">
          <cell r="F17">
            <v>36</v>
          </cell>
          <cell r="G17">
            <v>9.4722222222222214</v>
          </cell>
        </row>
        <row r="19">
          <cell r="F19">
            <v>16</v>
          </cell>
          <cell r="G19">
            <v>0</v>
          </cell>
        </row>
        <row r="20">
          <cell r="C20">
            <v>903</v>
          </cell>
          <cell r="K20">
            <v>6.1963601532567054</v>
          </cell>
        </row>
        <row r="23">
          <cell r="G23">
            <v>5.9642207398423288</v>
          </cell>
        </row>
        <row r="24">
          <cell r="G24">
            <v>2</v>
          </cell>
        </row>
        <row r="25">
          <cell r="G25">
            <v>4.4615384615384617</v>
          </cell>
        </row>
        <row r="26">
          <cell r="G26">
            <v>7.2777777777777777</v>
          </cell>
        </row>
        <row r="28">
          <cell r="G28">
            <v>0</v>
          </cell>
        </row>
        <row r="29">
          <cell r="G29">
            <v>5.8735376044568248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GECON"/>
      <sheetName val="GEVIS"/>
      <sheetName val="2 - Cadastro de frota"/>
      <sheetName val="1 - Frota Operante GEPLA"/>
      <sheetName val="0 - Frota Operante TRANSCOL +"/>
      <sheetName val="Aux"/>
    </sheetNames>
    <sheetDataSet>
      <sheetData sheetId="0">
        <row r="5">
          <cell r="F5">
            <v>738</v>
          </cell>
          <cell r="G5">
            <v>6.2100271002710024</v>
          </cell>
          <cell r="K5">
            <v>6.2516823687752359</v>
          </cell>
        </row>
        <row r="6">
          <cell r="F6">
            <v>3</v>
          </cell>
          <cell r="G6">
            <v>2</v>
          </cell>
        </row>
        <row r="7">
          <cell r="F7">
            <v>14</v>
          </cell>
          <cell r="G7">
            <v>2</v>
          </cell>
        </row>
        <row r="8">
          <cell r="F8">
            <v>36</v>
          </cell>
          <cell r="G8">
            <v>5.083333333333333</v>
          </cell>
        </row>
        <row r="10">
          <cell r="F10">
            <v>14</v>
          </cell>
          <cell r="G10">
            <v>0</v>
          </cell>
        </row>
        <row r="11">
          <cell r="C11">
            <v>734</v>
          </cell>
        </row>
        <row r="14">
          <cell r="F14">
            <v>911</v>
          </cell>
          <cell r="G14">
            <v>5.8243688254665207</v>
          </cell>
        </row>
        <row r="15">
          <cell r="F15">
            <v>2</v>
          </cell>
          <cell r="G15">
            <v>2</v>
          </cell>
        </row>
        <row r="16">
          <cell r="F16">
            <v>25</v>
          </cell>
          <cell r="G16">
            <v>5.84</v>
          </cell>
        </row>
        <row r="17">
          <cell r="F17">
            <v>38</v>
          </cell>
          <cell r="G17">
            <v>8.973684210526315</v>
          </cell>
        </row>
        <row r="19">
          <cell r="F19">
            <v>16</v>
          </cell>
          <cell r="G19">
            <v>0</v>
          </cell>
        </row>
        <row r="20">
          <cell r="C20">
            <v>903</v>
          </cell>
          <cell r="K20">
            <v>5.9862745098039216</v>
          </cell>
        </row>
        <row r="23">
          <cell r="G23">
            <v>5.9969678593086719</v>
          </cell>
        </row>
        <row r="24">
          <cell r="G24">
            <v>2</v>
          </cell>
        </row>
        <row r="25">
          <cell r="G25">
            <v>4.4615384615384617</v>
          </cell>
        </row>
        <row r="26">
          <cell r="G26">
            <v>7.0810810810810807</v>
          </cell>
        </row>
        <row r="28">
          <cell r="G28">
            <v>0</v>
          </cell>
        </row>
        <row r="29">
          <cell r="G29">
            <v>5.8970506399554816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GECON"/>
      <sheetName val="GEVIS"/>
      <sheetName val="2 - Cadastro de frota"/>
      <sheetName val="1 - Frota Operante GEPLA"/>
      <sheetName val="0 - Frota Operante TRANSCOL +"/>
      <sheetName val="Aux"/>
    </sheetNames>
    <sheetDataSet>
      <sheetData sheetId="0">
        <row r="5">
          <cell r="F5">
            <v>740</v>
          </cell>
          <cell r="G5">
            <v>6.0013513513513512</v>
          </cell>
          <cell r="K5">
            <v>6.1455026455026456</v>
          </cell>
        </row>
        <row r="6">
          <cell r="F6">
            <v>2</v>
          </cell>
          <cell r="G6">
            <v>2</v>
          </cell>
        </row>
        <row r="7">
          <cell r="F7">
            <v>14</v>
          </cell>
          <cell r="G7">
            <v>2</v>
          </cell>
        </row>
        <row r="8">
          <cell r="F8">
            <v>36</v>
          </cell>
          <cell r="G8">
            <v>5.083333333333333</v>
          </cell>
        </row>
        <row r="10">
          <cell r="F10">
            <v>14</v>
          </cell>
          <cell r="G10">
            <v>0</v>
          </cell>
        </row>
        <row r="11">
          <cell r="C11">
            <v>734</v>
          </cell>
        </row>
        <row r="14">
          <cell r="F14">
            <v>912</v>
          </cell>
          <cell r="G14">
            <v>5.7807017543859649</v>
          </cell>
        </row>
        <row r="15">
          <cell r="F15">
            <v>2</v>
          </cell>
          <cell r="G15">
            <v>2</v>
          </cell>
        </row>
        <row r="16">
          <cell r="F16">
            <v>25</v>
          </cell>
          <cell r="G16">
            <v>5.88</v>
          </cell>
        </row>
        <row r="17">
          <cell r="F17">
            <v>38</v>
          </cell>
          <cell r="G17">
            <v>8.2894736842105257</v>
          </cell>
        </row>
        <row r="19">
          <cell r="F19">
            <v>16</v>
          </cell>
          <cell r="G19">
            <v>0</v>
          </cell>
        </row>
        <row r="20">
          <cell r="C20">
            <v>904</v>
          </cell>
          <cell r="K20">
            <v>5.9331366764995082</v>
          </cell>
        </row>
        <row r="23">
          <cell r="G23">
            <v>5.8795399515738502</v>
          </cell>
        </row>
        <row r="24">
          <cell r="G24">
            <v>2</v>
          </cell>
        </row>
        <row r="25">
          <cell r="G25">
            <v>4.4871794871794872</v>
          </cell>
        </row>
        <row r="26">
          <cell r="G26">
            <v>6.7297297297297298</v>
          </cell>
        </row>
        <row r="28">
          <cell r="G28">
            <v>0</v>
          </cell>
        </row>
        <row r="29">
          <cell r="G29">
            <v>5.7776542523624235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GECON"/>
      <sheetName val="GEVIS"/>
      <sheetName val="2 - Cadastro de frota"/>
      <sheetName val="1 - Frota Operante GEPLA"/>
      <sheetName val="0 - Frota Operante TRANSCOL +"/>
      <sheetName val="Aux"/>
    </sheetNames>
    <sheetDataSet>
      <sheetData sheetId="0">
        <row r="5">
          <cell r="F5">
            <v>740</v>
          </cell>
          <cell r="G5">
            <v>6.2851351351351354</v>
          </cell>
          <cell r="K5">
            <v>6.6516129032258062</v>
          </cell>
        </row>
        <row r="6">
          <cell r="F6">
            <v>2</v>
          </cell>
          <cell r="G6">
            <v>3</v>
          </cell>
        </row>
        <row r="7">
          <cell r="F7">
            <v>14</v>
          </cell>
          <cell r="G7">
            <v>3</v>
          </cell>
        </row>
        <row r="8">
          <cell r="F8">
            <v>36</v>
          </cell>
          <cell r="G8">
            <v>5.8055555555555554</v>
          </cell>
        </row>
        <row r="10">
          <cell r="F10">
            <v>14</v>
          </cell>
          <cell r="G10">
            <v>1</v>
          </cell>
        </row>
        <row r="11">
          <cell r="C11">
            <v>734</v>
          </cell>
        </row>
        <row r="14">
          <cell r="F14">
            <v>909</v>
          </cell>
          <cell r="G14">
            <v>6.673267326732673</v>
          </cell>
        </row>
        <row r="15">
          <cell r="F15">
            <v>3</v>
          </cell>
          <cell r="G15">
            <v>3</v>
          </cell>
        </row>
        <row r="16">
          <cell r="F16">
            <v>25</v>
          </cell>
          <cell r="G16">
            <v>6.2</v>
          </cell>
        </row>
        <row r="17">
          <cell r="F17">
            <v>38</v>
          </cell>
          <cell r="G17">
            <v>9.026315789473685</v>
          </cell>
        </row>
        <row r="19">
          <cell r="F19">
            <v>16</v>
          </cell>
          <cell r="G19">
            <v>1</v>
          </cell>
        </row>
        <row r="20">
          <cell r="C20">
            <v>904</v>
          </cell>
          <cell r="K20">
            <v>6.8161258603736483</v>
          </cell>
        </row>
        <row r="23">
          <cell r="G23">
            <v>6.4990903577926016</v>
          </cell>
        </row>
        <row r="24">
          <cell r="G24">
            <v>3</v>
          </cell>
        </row>
        <row r="25">
          <cell r="G25">
            <v>5.0512820512820511</v>
          </cell>
        </row>
        <row r="26">
          <cell r="G26">
            <v>7.4594594594594597</v>
          </cell>
        </row>
        <row r="28">
          <cell r="G28">
            <v>1</v>
          </cell>
        </row>
        <row r="29">
          <cell r="G29">
            <v>6.4056761268781299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GECON"/>
      <sheetName val="GEVIS"/>
      <sheetName val="2 - Cadastro de frota"/>
      <sheetName val="1 - Frota Operante GEPLA"/>
      <sheetName val="Aux"/>
    </sheetNames>
    <sheetDataSet>
      <sheetData sheetId="0">
        <row r="5">
          <cell r="F5">
            <v>729</v>
          </cell>
        </row>
        <row r="7">
          <cell r="F7">
            <v>14</v>
          </cell>
        </row>
        <row r="8">
          <cell r="F8">
            <v>35</v>
          </cell>
        </row>
        <row r="11">
          <cell r="C11">
            <v>719</v>
          </cell>
        </row>
        <row r="14">
          <cell r="F14">
            <v>901</v>
          </cell>
        </row>
        <row r="15">
          <cell r="F15">
            <v>1</v>
          </cell>
        </row>
        <row r="16">
          <cell r="F16">
            <v>25</v>
          </cell>
        </row>
        <row r="17">
          <cell r="F17">
            <v>38</v>
          </cell>
        </row>
        <row r="18">
          <cell r="F18">
            <v>16</v>
          </cell>
        </row>
        <row r="20">
          <cell r="C20">
            <v>894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GECON"/>
      <sheetName val="GEVIS"/>
      <sheetName val="2 - Cadastro de frota"/>
      <sheetName val="1 - Frota Operante GEPLA"/>
      <sheetName val="Aux"/>
    </sheetNames>
    <sheetDataSet>
      <sheetData sheetId="0">
        <row r="5">
          <cell r="F5">
            <v>729</v>
          </cell>
        </row>
        <row r="6">
          <cell r="F6">
            <v>2</v>
          </cell>
        </row>
        <row r="7">
          <cell r="F7">
            <v>14</v>
          </cell>
          <cell r="G7">
            <v>2</v>
          </cell>
        </row>
        <row r="8">
          <cell r="F8">
            <v>36</v>
          </cell>
          <cell r="G8">
            <v>10.194444444444445</v>
          </cell>
        </row>
        <row r="9">
          <cell r="F9">
            <v>9</v>
          </cell>
          <cell r="G9">
            <v>5.5555555555555554</v>
          </cell>
        </row>
        <row r="11">
          <cell r="C11">
            <v>720</v>
          </cell>
        </row>
        <row r="14">
          <cell r="F14">
            <v>901</v>
          </cell>
          <cell r="G14">
            <v>7.057713651498335</v>
          </cell>
        </row>
        <row r="15">
          <cell r="F15">
            <v>1</v>
          </cell>
          <cell r="G15">
            <v>2</v>
          </cell>
        </row>
        <row r="16">
          <cell r="F16">
            <v>25</v>
          </cell>
          <cell r="G16">
            <v>6.36</v>
          </cell>
        </row>
        <row r="17">
          <cell r="F17">
            <v>37</v>
          </cell>
          <cell r="G17">
            <v>9.486486486486486</v>
          </cell>
        </row>
        <row r="18">
          <cell r="F18">
            <v>16</v>
          </cell>
          <cell r="G18">
            <v>4.5</v>
          </cell>
        </row>
        <row r="20">
          <cell r="C20">
            <v>894</v>
          </cell>
          <cell r="K20">
            <v>7.2886699507389165</v>
          </cell>
        </row>
        <row r="24">
          <cell r="G24">
            <v>2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GECON"/>
      <sheetName val="GEVIS"/>
      <sheetName val="2 - Cadastro de frota"/>
      <sheetName val="1 - Frota Operante GEPLA"/>
      <sheetName val="Aux"/>
    </sheetNames>
    <sheetDataSet>
      <sheetData sheetId="0">
        <row r="15">
          <cell r="G15">
            <v>2</v>
          </cell>
        </row>
        <row r="16">
          <cell r="G16">
            <v>6.36</v>
          </cell>
        </row>
        <row r="17">
          <cell r="G17">
            <v>9.6842105263157894</v>
          </cell>
        </row>
        <row r="18">
          <cell r="G18">
            <v>4.5</v>
          </cell>
        </row>
        <row r="20">
          <cell r="K20">
            <v>7.2886699507389165</v>
          </cell>
        </row>
        <row r="24">
          <cell r="G24">
            <v>2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CUST"/>
      <sheetName val="REPREC"/>
      <sheetName val="RESUM"/>
    </sheetNames>
    <sheetDataSet>
      <sheetData sheetId="0">
        <row r="6">
          <cell r="K6">
            <v>25323746.73</v>
          </cell>
        </row>
        <row r="7">
          <cell r="K7">
            <v>31418715.27</v>
          </cell>
        </row>
      </sheetData>
      <sheetData sheetId="1"/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CUST"/>
      <sheetName val="REPREC"/>
      <sheetName val="RESUM"/>
    </sheetNames>
    <sheetDataSet>
      <sheetData sheetId="0">
        <row r="6">
          <cell r="K6">
            <v>26908912.050000001</v>
          </cell>
        </row>
        <row r="7">
          <cell r="K7">
            <v>33256018.289999999</v>
          </cell>
        </row>
      </sheetData>
      <sheetData sheetId="1"/>
      <sheetData sheetId="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CUST"/>
      <sheetName val="REPREC"/>
      <sheetName val="RESUM"/>
    </sheetNames>
    <sheetDataSet>
      <sheetData sheetId="0">
        <row r="6">
          <cell r="K6">
            <v>25107804.899999999</v>
          </cell>
        </row>
        <row r="7">
          <cell r="K7">
            <v>30916502.23</v>
          </cell>
        </row>
      </sheetData>
      <sheetData sheetId="1"/>
      <sheetData sheetId="2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CUST"/>
      <sheetName val="REPREC"/>
      <sheetName val="RESUM"/>
    </sheetNames>
    <sheetDataSet>
      <sheetData sheetId="0">
        <row r="6">
          <cell r="K6">
            <v>27143923.600000001</v>
          </cell>
        </row>
        <row r="7">
          <cell r="K7">
            <v>33570467.899999999</v>
          </cell>
        </row>
      </sheetData>
      <sheetData sheetId="1"/>
      <sheetData sheetId="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CUST"/>
      <sheetName val="REPREC"/>
      <sheetName val="RESUM"/>
    </sheetNames>
    <sheetDataSet>
      <sheetData sheetId="0">
        <row r="6">
          <cell r="K6">
            <v>26696144.77</v>
          </cell>
        </row>
        <row r="7">
          <cell r="K7">
            <v>32841725.84</v>
          </cell>
        </row>
      </sheetData>
      <sheetData sheetId="1"/>
      <sheetData sheetId="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CUST"/>
      <sheetName val="REPREC"/>
      <sheetName val="RESUM"/>
    </sheetNames>
    <sheetDataSet>
      <sheetData sheetId="0">
        <row r="6">
          <cell r="K6">
            <v>26356240.25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084A9B-0C38-404E-B075-8285B8F6A4D5}">
  <dimension ref="A1:N161"/>
  <sheetViews>
    <sheetView tabSelected="1" workbookViewId="0">
      <selection activeCell="Q21" sqref="Q21"/>
    </sheetView>
  </sheetViews>
  <sheetFormatPr defaultRowHeight="15" x14ac:dyDescent="0.25"/>
  <cols>
    <col min="1" max="1" width="40.5703125" bestFit="1" customWidth="1"/>
    <col min="2" max="13" width="12.85546875" bestFit="1" customWidth="1"/>
    <col min="14" max="14" width="15.42578125" bestFit="1" customWidth="1"/>
  </cols>
  <sheetData>
    <row r="1" spans="1:14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24.75" thickBot="1" x14ac:dyDescent="0.3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3" t="s">
        <v>1</v>
      </c>
    </row>
    <row r="3" spans="1:14" ht="16.5" thickBot="1" x14ac:dyDescent="0.3">
      <c r="A3" s="4" t="s">
        <v>2</v>
      </c>
      <c r="B3" s="5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7" t="s">
        <v>15</v>
      </c>
    </row>
    <row r="4" spans="1:14" x14ac:dyDescent="0.25">
      <c r="A4" s="8" t="s">
        <v>16</v>
      </c>
      <c r="B4" s="9">
        <f t="shared" ref="B4:N4" si="0">B5/B15</f>
        <v>9.364897593904411</v>
      </c>
      <c r="C4" s="10">
        <f t="shared" si="0"/>
        <v>9.4870002354938059</v>
      </c>
      <c r="D4" s="10">
        <f t="shared" si="0"/>
        <v>9.4870000534578374</v>
      </c>
      <c r="E4" s="10">
        <f t="shared" si="0"/>
        <v>9.4869999622514989</v>
      </c>
      <c r="F4" s="10">
        <f t="shared" si="0"/>
        <v>9.488537092499028</v>
      </c>
      <c r="G4" s="10">
        <f t="shared" si="0"/>
        <v>9.4870001508814017</v>
      </c>
      <c r="H4" s="10">
        <f t="shared" si="0"/>
        <v>9.4870000343499239</v>
      </c>
      <c r="I4" s="10">
        <f t="shared" si="0"/>
        <v>9.487000258250319</v>
      </c>
      <c r="J4" s="10">
        <f t="shared" si="0"/>
        <v>9.4870002127724575</v>
      </c>
      <c r="K4" s="10">
        <f t="shared" si="0"/>
        <v>9.4870001781945277</v>
      </c>
      <c r="L4" s="10">
        <f t="shared" si="0"/>
        <v>9.4870000474594747</v>
      </c>
      <c r="M4" s="10">
        <f t="shared" si="0"/>
        <v>9.4869999225553752</v>
      </c>
      <c r="N4" s="11">
        <f t="shared" si="0"/>
        <v>9.4773330927052761</v>
      </c>
    </row>
    <row r="5" spans="1:14" x14ac:dyDescent="0.25">
      <c r="A5" s="12" t="s">
        <v>17</v>
      </c>
      <c r="B5" s="13">
        <v>37132717.990000002</v>
      </c>
      <c r="C5" s="13">
        <f>'[1]2025'!$C$5</f>
        <v>36602655.700000003</v>
      </c>
      <c r="D5" s="13">
        <f>'[1]2025'!$D$5</f>
        <v>38613263.380000003</v>
      </c>
      <c r="E5" s="13">
        <f>'[1]2025'!$E$5</f>
        <v>37632841.899999999</v>
      </c>
      <c r="F5" s="13">
        <f>'[1]2025'!$F$5</f>
        <v>39887435.810000002</v>
      </c>
      <c r="G5" s="13">
        <f>'[1]2025'!$G$5</f>
        <v>38007381.539999999</v>
      </c>
      <c r="H5" s="13">
        <f>'[1]2025'!$H$5</f>
        <v>40941950.109999999</v>
      </c>
      <c r="I5" s="13">
        <f>'[1]2025'!$I$5</f>
        <v>40418795.57</v>
      </c>
      <c r="J5" s="13">
        <f>'[1]2025'!$J$5</f>
        <v>40041393.590000004</v>
      </c>
      <c r="K5" s="13">
        <f>'[1]2025'!$K$5</f>
        <v>41650913.590000004</v>
      </c>
      <c r="L5" s="13">
        <f>'[1]2025'!$L$5</f>
        <v>37840475.479999997</v>
      </c>
      <c r="M5" s="13">
        <f>'[1]2025'!$M$5</f>
        <v>39544364.170000002</v>
      </c>
      <c r="N5" s="14">
        <f t="shared" ref="N5:N12" si="1">SUM(B5:M5)</f>
        <v>468314188.8300001</v>
      </c>
    </row>
    <row r="6" spans="1:14" x14ac:dyDescent="0.25">
      <c r="A6" s="12" t="s">
        <v>18</v>
      </c>
      <c r="B6" s="13">
        <v>24537203.399999999</v>
      </c>
      <c r="C6" s="13">
        <f>[2]RECUST!$K$6</f>
        <v>26124321.329999998</v>
      </c>
      <c r="D6" s="13">
        <f>[3]RECUST!$K$6</f>
        <v>25742526.129999999</v>
      </c>
      <c r="E6" s="13">
        <f>[4]RECUST!$K$6</f>
        <v>25323746.73</v>
      </c>
      <c r="F6" s="13">
        <f>[5]RECUST!$K$6</f>
        <v>26908912.050000001</v>
      </c>
      <c r="G6" s="13">
        <f>[6]RECUST!$K$6</f>
        <v>25107804.899999999</v>
      </c>
      <c r="H6" s="13">
        <f>[7]RECUST!$K$6</f>
        <v>27143923.600000001</v>
      </c>
      <c r="I6" s="13">
        <f>[8]RECUST!$K$6</f>
        <v>26696144.77</v>
      </c>
      <c r="J6" s="13">
        <f>[9]RECUST!$K$6</f>
        <v>26356240.25</v>
      </c>
      <c r="K6" s="13">
        <f>[10]RECUST!$K$6</f>
        <v>27718301.760000002</v>
      </c>
      <c r="L6" s="13">
        <f>[11]RECUST!$K$6</f>
        <v>24703738.850000001</v>
      </c>
      <c r="M6" s="13">
        <f>[12]RECUST!$K$6</f>
        <v>24257871.239999998</v>
      </c>
      <c r="N6" s="14">
        <f t="shared" si="1"/>
        <v>310620735.00999999</v>
      </c>
    </row>
    <row r="7" spans="1:14" x14ac:dyDescent="0.25">
      <c r="A7" s="15" t="s">
        <v>19</v>
      </c>
      <c r="B7" s="16">
        <f>B6*0.05</f>
        <v>1226860.17</v>
      </c>
      <c r="C7" s="16">
        <f t="shared" ref="C7:M7" si="2">C6*0.05</f>
        <v>1306216.0665</v>
      </c>
      <c r="D7" s="16">
        <f t="shared" si="2"/>
        <v>1287126.3064999999</v>
      </c>
      <c r="E7" s="16">
        <f t="shared" si="2"/>
        <v>1266187.3365000002</v>
      </c>
      <c r="F7" s="16">
        <f t="shared" si="2"/>
        <v>1345445.6025</v>
      </c>
      <c r="G7" s="16">
        <f t="shared" si="2"/>
        <v>1255390.2449999999</v>
      </c>
      <c r="H7" s="16">
        <f t="shared" si="2"/>
        <v>1357196.1800000002</v>
      </c>
      <c r="I7" s="16">
        <f t="shared" si="2"/>
        <v>1334807.2385</v>
      </c>
      <c r="J7" s="16">
        <f t="shared" si="2"/>
        <v>1317812.0125000002</v>
      </c>
      <c r="K7" s="16">
        <f t="shared" si="2"/>
        <v>1385915.0880000002</v>
      </c>
      <c r="L7" s="16">
        <f t="shared" si="2"/>
        <v>1235186.9425000001</v>
      </c>
      <c r="M7" s="16">
        <f t="shared" si="2"/>
        <v>1212893.5619999999</v>
      </c>
      <c r="N7" s="17">
        <f t="shared" si="1"/>
        <v>15531036.750500001</v>
      </c>
    </row>
    <row r="8" spans="1:14" x14ac:dyDescent="0.25">
      <c r="A8" s="15" t="s">
        <v>20</v>
      </c>
      <c r="B8" s="16">
        <f>B6-B7</f>
        <v>23310343.229999997</v>
      </c>
      <c r="C8" s="16">
        <f t="shared" ref="C8:M8" si="3">C6-C7</f>
        <v>24818105.263499998</v>
      </c>
      <c r="D8" s="16">
        <f t="shared" si="3"/>
        <v>24455399.8235</v>
      </c>
      <c r="E8" s="16">
        <f t="shared" si="3"/>
        <v>24057559.3935</v>
      </c>
      <c r="F8" s="16">
        <f t="shared" si="3"/>
        <v>25563466.447500002</v>
      </c>
      <c r="G8" s="16">
        <f t="shared" si="3"/>
        <v>23852414.654999997</v>
      </c>
      <c r="H8" s="16">
        <f t="shared" si="3"/>
        <v>25786727.420000002</v>
      </c>
      <c r="I8" s="16">
        <f t="shared" si="3"/>
        <v>25361337.531500001</v>
      </c>
      <c r="J8" s="16">
        <f t="shared" si="3"/>
        <v>25038428.237500001</v>
      </c>
      <c r="K8" s="16">
        <f t="shared" si="3"/>
        <v>26332386.672000002</v>
      </c>
      <c r="L8" s="16">
        <f t="shared" si="3"/>
        <v>23468551.907500003</v>
      </c>
      <c r="M8" s="16">
        <f t="shared" si="3"/>
        <v>23044977.677999999</v>
      </c>
      <c r="N8" s="17">
        <f t="shared" si="1"/>
        <v>295089698.25949997</v>
      </c>
    </row>
    <row r="9" spans="1:14" x14ac:dyDescent="0.25">
      <c r="A9" s="15" t="s">
        <v>21</v>
      </c>
      <c r="B9" s="16">
        <f>B8*0.0264</f>
        <v>615393.06127199996</v>
      </c>
      <c r="C9" s="16">
        <f t="shared" ref="C9:M9" si="4">C8*0.0264</f>
        <v>655197.97895639995</v>
      </c>
      <c r="D9" s="16">
        <f t="shared" si="4"/>
        <v>645622.55534039997</v>
      </c>
      <c r="E9" s="16">
        <f t="shared" si="4"/>
        <v>635119.5679884</v>
      </c>
      <c r="F9" s="16">
        <f t="shared" si="4"/>
        <v>674875.51421400008</v>
      </c>
      <c r="G9" s="16">
        <f t="shared" si="4"/>
        <v>629703.74689199997</v>
      </c>
      <c r="H9" s="16">
        <f t="shared" si="4"/>
        <v>680769.60388800001</v>
      </c>
      <c r="I9" s="16">
        <f t="shared" si="4"/>
        <v>669539.31083159999</v>
      </c>
      <c r="J9" s="16">
        <f t="shared" si="4"/>
        <v>661014.50546999997</v>
      </c>
      <c r="K9" s="16">
        <f t="shared" si="4"/>
        <v>695175.00814080006</v>
      </c>
      <c r="L9" s="16">
        <f t="shared" si="4"/>
        <v>619569.77035800007</v>
      </c>
      <c r="M9" s="16">
        <f t="shared" si="4"/>
        <v>608387.4106992</v>
      </c>
      <c r="N9" s="17">
        <f t="shared" si="1"/>
        <v>7790368.0340507999</v>
      </c>
    </row>
    <row r="10" spans="1:14" x14ac:dyDescent="0.25">
      <c r="A10" s="12" t="s">
        <v>22</v>
      </c>
      <c r="B10" s="13">
        <v>193765.08</v>
      </c>
      <c r="C10" s="13">
        <f>'[13]SUBSÍDIO JANEIRO 2025'!$C$8</f>
        <v>192412.27931517366</v>
      </c>
      <c r="D10" s="13">
        <f>'[14]SUBSÍDIO JANEIRO 2025'!$C$8</f>
        <v>191831.47343183798</v>
      </c>
      <c r="E10" s="13">
        <f>'[15]SUBSÍDIO JANEIRO 2025'!$C$8</f>
        <v>191009.14194914777</v>
      </c>
      <c r="F10" s="13">
        <f>'[16]SUBSÍDIO JANEIRO 2025'!$C$8</f>
        <v>189899.94190780816</v>
      </c>
      <c r="G10" s="13">
        <f>'[17]ENTRADA DE DADOS '!$F$6*3</f>
        <v>189399.90470143975</v>
      </c>
      <c r="H10" s="13">
        <f>'[18]SUBSÍDIO JANEIRO 2025'!$C$8</f>
        <v>188733.15000000002</v>
      </c>
      <c r="I10" s="13">
        <f>'[19]SUBSÍDIO JANEIRO 2025'!$C$8</f>
        <v>188381.75141675715</v>
      </c>
      <c r="J10" s="13">
        <f>[20]Remuneração!$P$6</f>
        <v>187886.93368283327</v>
      </c>
      <c r="K10" s="13">
        <f>[21]Remuneração!$P$6</f>
        <v>188421.29538243992</v>
      </c>
      <c r="L10" s="13">
        <f>[22]Remuneração!$P$6</f>
        <v>189191.50144598872</v>
      </c>
      <c r="M10" s="13">
        <f>[23]Remuneração!$P$6</f>
        <v>189931.54329916</v>
      </c>
      <c r="N10" s="14">
        <f t="shared" si="1"/>
        <v>2280863.9965325869</v>
      </c>
    </row>
    <row r="11" spans="1:14" x14ac:dyDescent="0.25">
      <c r="A11" s="15" t="s">
        <v>23</v>
      </c>
      <c r="B11" s="16">
        <f>B5-B8-B9-B10</f>
        <v>13013216.618728006</v>
      </c>
      <c r="C11" s="16">
        <f t="shared" ref="C11:M11" si="5">C5-C8-C9-C10</f>
        <v>10936940.178228432</v>
      </c>
      <c r="D11" s="16">
        <f t="shared" si="5"/>
        <v>13320409.527727764</v>
      </c>
      <c r="E11" s="16">
        <f t="shared" si="5"/>
        <v>12749153.796562452</v>
      </c>
      <c r="F11" s="16">
        <f t="shared" si="5"/>
        <v>13459193.906378193</v>
      </c>
      <c r="G11" s="16">
        <f t="shared" si="5"/>
        <v>13335863.233406562</v>
      </c>
      <c r="H11" s="16">
        <f t="shared" si="5"/>
        <v>14285719.936111998</v>
      </c>
      <c r="I11" s="16">
        <f t="shared" si="5"/>
        <v>14199536.976251641</v>
      </c>
      <c r="J11" s="16">
        <f t="shared" si="5"/>
        <v>14154063.91334717</v>
      </c>
      <c r="K11" s="16">
        <f t="shared" si="5"/>
        <v>14434930.614476761</v>
      </c>
      <c r="L11" s="16">
        <f t="shared" si="5"/>
        <v>13563162.300696006</v>
      </c>
      <c r="M11" s="16">
        <f t="shared" si="5"/>
        <v>15701067.538001642</v>
      </c>
      <c r="N11" s="17">
        <f t="shared" si="1"/>
        <v>163153258.53991663</v>
      </c>
    </row>
    <row r="12" spans="1:14" x14ac:dyDescent="0.25">
      <c r="A12" s="15" t="s">
        <v>24</v>
      </c>
      <c r="B12" s="16">
        <f>B11*0.05</f>
        <v>650660.83093640034</v>
      </c>
      <c r="C12" s="16">
        <f t="shared" ref="C12:M12" si="6">C11*0.05</f>
        <v>546847.00891142164</v>
      </c>
      <c r="D12" s="16">
        <f t="shared" si="6"/>
        <v>666020.4763863883</v>
      </c>
      <c r="E12" s="16">
        <f t="shared" si="6"/>
        <v>637457.68982812262</v>
      </c>
      <c r="F12" s="16">
        <f t="shared" si="6"/>
        <v>672959.69531890971</v>
      </c>
      <c r="G12" s="16">
        <f t="shared" si="6"/>
        <v>666793.16167032812</v>
      </c>
      <c r="H12" s="16">
        <f t="shared" si="6"/>
        <v>714285.99680559989</v>
      </c>
      <c r="I12" s="16">
        <f t="shared" si="6"/>
        <v>709976.84881258209</v>
      </c>
      <c r="J12" s="16">
        <f t="shared" si="6"/>
        <v>707703.19566735858</v>
      </c>
      <c r="K12" s="16">
        <f t="shared" si="6"/>
        <v>721746.53072383814</v>
      </c>
      <c r="L12" s="16">
        <f t="shared" si="6"/>
        <v>678158.11503480037</v>
      </c>
      <c r="M12" s="16">
        <f t="shared" si="6"/>
        <v>785053.3769000821</v>
      </c>
      <c r="N12" s="17">
        <f t="shared" si="1"/>
        <v>8157662.9269958325</v>
      </c>
    </row>
    <row r="13" spans="1:14" x14ac:dyDescent="0.25">
      <c r="A13" s="15" t="s">
        <v>25</v>
      </c>
      <c r="B13" s="18">
        <f t="shared" ref="B13:N13" si="7">B31/B15</f>
        <v>1.6016830361736514</v>
      </c>
      <c r="C13" s="19">
        <f t="shared" si="7"/>
        <v>1.7341501728688544</v>
      </c>
      <c r="D13" s="19">
        <f t="shared" si="7"/>
        <v>1.6498191605313537</v>
      </c>
      <c r="E13" s="19">
        <f t="shared" si="7"/>
        <v>1.6824139393542676</v>
      </c>
      <c r="F13" s="19">
        <f t="shared" si="7"/>
        <v>1.6725186681484199</v>
      </c>
      <c r="G13" s="19">
        <f t="shared" si="7"/>
        <v>1.6519842292080957</v>
      </c>
      <c r="H13" s="19">
        <f t="shared" si="7"/>
        <v>1.6159736954100825</v>
      </c>
      <c r="I13" s="19">
        <f t="shared" si="7"/>
        <v>1.6509811115707245</v>
      </c>
      <c r="J13" s="19">
        <f t="shared" si="7"/>
        <v>1.6556949679053443</v>
      </c>
      <c r="K13" s="19">
        <f t="shared" si="7"/>
        <v>1.6762305185336372</v>
      </c>
      <c r="L13" s="19">
        <f t="shared" si="7"/>
        <v>1.6423011693056984</v>
      </c>
      <c r="M13" s="19">
        <f t="shared" si="7"/>
        <v>1.4920549878283638</v>
      </c>
      <c r="N13" s="20">
        <f t="shared" si="7"/>
        <v>1.6433421705002589</v>
      </c>
    </row>
    <row r="14" spans="1:14" x14ac:dyDescent="0.25">
      <c r="A14" s="15" t="s">
        <v>26</v>
      </c>
      <c r="B14" s="21">
        <f t="shared" ref="B14:N14" si="8">B31/B16</f>
        <v>41.49104628752491</v>
      </c>
      <c r="C14" s="22">
        <f t="shared" si="8"/>
        <v>44.783081886453999</v>
      </c>
      <c r="D14" s="22">
        <f t="shared" si="8"/>
        <v>42.504370723432267</v>
      </c>
      <c r="E14" s="22">
        <f t="shared" si="8"/>
        <v>43.182620230026366</v>
      </c>
      <c r="F14" s="22">
        <f t="shared" si="8"/>
        <v>43.04149665902461</v>
      </c>
      <c r="G14" s="22">
        <f t="shared" si="8"/>
        <v>42.6123743267649</v>
      </c>
      <c r="H14" s="22">
        <f t="shared" si="8"/>
        <v>41.684823670053795</v>
      </c>
      <c r="I14" s="22">
        <f t="shared" si="8"/>
        <v>42.585083518492731</v>
      </c>
      <c r="J14" s="22">
        <f t="shared" si="8"/>
        <v>42.382062540937874</v>
      </c>
      <c r="K14" s="22">
        <f t="shared" si="8"/>
        <v>42.94522122757671</v>
      </c>
      <c r="L14" s="22">
        <f t="shared" si="8"/>
        <v>42.317572805498848</v>
      </c>
      <c r="M14" s="22">
        <f t="shared" si="8"/>
        <v>38.327366847951687</v>
      </c>
      <c r="N14" s="23">
        <f t="shared" si="8"/>
        <v>42.306171474656203</v>
      </c>
    </row>
    <row r="15" spans="1:14" x14ac:dyDescent="0.25">
      <c r="A15" s="12" t="s">
        <v>27</v>
      </c>
      <c r="B15" s="24">
        <f>6350.8+3958745.2</f>
        <v>3965096</v>
      </c>
      <c r="C15" s="24">
        <f>'[1]2025'!$C$14</f>
        <v>3858190.66</v>
      </c>
      <c r="D15" s="24">
        <f>'[1]2025'!$D$14</f>
        <v>4070123.6599999997</v>
      </c>
      <c r="E15" s="24">
        <f>'[1]2025'!$E$14</f>
        <v>3966780.0199999996</v>
      </c>
      <c r="F15" s="24">
        <f>'[1]2025'!$F$14</f>
        <v>4203749.79</v>
      </c>
      <c r="G15" s="24">
        <f>'[1]2025'!$G$14</f>
        <v>4006259.19</v>
      </c>
      <c r="H15" s="24">
        <f>'[1]2025'!$H$14</f>
        <v>4315584.4800000004</v>
      </c>
      <c r="I15" s="24">
        <f>'[1]2025'!$I$14</f>
        <v>4260440.0200000005</v>
      </c>
      <c r="J15" s="24">
        <f>'[1]2025'!$J$14</f>
        <v>4220659.08</v>
      </c>
      <c r="K15" s="24">
        <f>'[1]2025'!$K$14</f>
        <v>4390314.41</v>
      </c>
      <c r="L15" s="24">
        <f>'[1]2025'!$L$14</f>
        <v>3988666.1</v>
      </c>
      <c r="M15" s="24">
        <f>'[1]2025'!$M$14</f>
        <v>4168268.63</v>
      </c>
      <c r="N15" s="14">
        <f>SUM(B15:M15)</f>
        <v>49414132.040000007</v>
      </c>
    </row>
    <row r="16" spans="1:14" x14ac:dyDescent="0.25">
      <c r="A16" s="12" t="s">
        <v>28</v>
      </c>
      <c r="B16" s="24">
        <f>292.5+152772.5</f>
        <v>153065</v>
      </c>
      <c r="C16" s="24">
        <f>'[1]2025'!$C$15</f>
        <v>149402</v>
      </c>
      <c r="D16" s="24">
        <f>'[1]2025'!$D$15</f>
        <v>157983</v>
      </c>
      <c r="E16" s="24">
        <f>'[1]2025'!$E$15</f>
        <v>154547.5</v>
      </c>
      <c r="F16" s="24">
        <f>'[1]2025'!$F$15</f>
        <v>163350.5</v>
      </c>
      <c r="G16" s="24">
        <f>'[1]2025'!$G$15</f>
        <v>155313.5</v>
      </c>
      <c r="H16" s="24">
        <f>'[1]2025'!$H$15</f>
        <v>167300</v>
      </c>
      <c r="I16" s="24">
        <f>'[1]2025'!$I$15</f>
        <v>165173</v>
      </c>
      <c r="J16" s="24">
        <f>'[1]2025'!$J$15</f>
        <v>164884</v>
      </c>
      <c r="K16" s="24">
        <f>'[1]2025'!$K$15</f>
        <v>171362</v>
      </c>
      <c r="L16" s="24">
        <f>'[1]2025'!$L$15</f>
        <v>154796</v>
      </c>
      <c r="M16" s="24">
        <f>'[1]2025'!$M$15</f>
        <v>162267.5</v>
      </c>
      <c r="N16" s="14">
        <f>SUM(B16:M16)</f>
        <v>1919444</v>
      </c>
    </row>
    <row r="17" spans="1:14" x14ac:dyDescent="0.25">
      <c r="A17" s="15" t="s">
        <v>29</v>
      </c>
      <c r="B17" s="25">
        <f t="shared" ref="B17:M17" si="9">B15/B20</f>
        <v>5514.7371349095965</v>
      </c>
      <c r="C17" s="26">
        <f t="shared" si="9"/>
        <v>5366.0509874826148</v>
      </c>
      <c r="D17" s="26">
        <f t="shared" si="9"/>
        <v>5652.9495277777769</v>
      </c>
      <c r="E17" s="26">
        <f t="shared" si="9"/>
        <v>5509.4166944444441</v>
      </c>
      <c r="F17" s="26">
        <f t="shared" si="9"/>
        <v>5790.2889669421484</v>
      </c>
      <c r="G17" s="26">
        <f t="shared" si="9"/>
        <v>5518.2633471074378</v>
      </c>
      <c r="H17" s="26">
        <f t="shared" si="9"/>
        <v>5936.1547180192574</v>
      </c>
      <c r="I17" s="26">
        <f t="shared" si="9"/>
        <v>5820.2732513661213</v>
      </c>
      <c r="J17" s="26">
        <f t="shared" si="9"/>
        <v>5750.2167302452317</v>
      </c>
      <c r="K17" s="26">
        <f t="shared" si="9"/>
        <v>5981.3547820163494</v>
      </c>
      <c r="L17" s="26">
        <f t="shared" si="9"/>
        <v>5434.1500000000005</v>
      </c>
      <c r="M17" s="26">
        <f t="shared" si="9"/>
        <v>5678.8400953678474</v>
      </c>
      <c r="N17" s="17">
        <f>AVERAGE(B17:M17)</f>
        <v>5662.7246863065693</v>
      </c>
    </row>
    <row r="18" spans="1:14" x14ac:dyDescent="0.25">
      <c r="A18" s="15" t="s">
        <v>30</v>
      </c>
      <c r="B18" s="27">
        <f t="shared" ref="B18:M18" si="10">B21+B23+B25+B27+B29</f>
        <v>788</v>
      </c>
      <c r="C18" s="27">
        <f t="shared" si="10"/>
        <v>789</v>
      </c>
      <c r="D18" s="27">
        <f t="shared" si="10"/>
        <v>790</v>
      </c>
      <c r="E18" s="27">
        <f t="shared" si="10"/>
        <v>791</v>
      </c>
      <c r="F18" s="27">
        <f t="shared" si="10"/>
        <v>794</v>
      </c>
      <c r="G18" s="27">
        <f t="shared" si="10"/>
        <v>796</v>
      </c>
      <c r="H18" s="27">
        <f t="shared" si="10"/>
        <v>798</v>
      </c>
      <c r="I18" s="27">
        <f t="shared" si="10"/>
        <v>804</v>
      </c>
      <c r="J18" s="27">
        <f t="shared" si="10"/>
        <v>804</v>
      </c>
      <c r="K18" s="27">
        <f t="shared" si="10"/>
        <v>805</v>
      </c>
      <c r="L18" s="27">
        <f t="shared" si="10"/>
        <v>806</v>
      </c>
      <c r="M18" s="27">
        <f t="shared" si="10"/>
        <v>806</v>
      </c>
      <c r="N18" s="28">
        <f>AVERAGE(B18:M18)</f>
        <v>797.58333333333337</v>
      </c>
    </row>
    <row r="19" spans="1:14" x14ac:dyDescent="0.25">
      <c r="A19" s="12" t="s">
        <v>31</v>
      </c>
      <c r="B19" s="13">
        <f>[24]GECON!$K$5</f>
        <v>7.09005376344086</v>
      </c>
      <c r="C19" s="29">
        <f>[25]GECON!$K$5</f>
        <v>7.0807537012113055</v>
      </c>
      <c r="D19" s="29">
        <f>[26]GECON!$K$5</f>
        <v>7.0807537012113055</v>
      </c>
      <c r="E19" s="29">
        <f>[27]GECON!$K$5</f>
        <v>7.0407055630936224</v>
      </c>
      <c r="F19" s="29">
        <f>[28]GECON!$K$5</f>
        <v>7.0407055630936224</v>
      </c>
      <c r="G19" s="29">
        <f>[29]GECON!$K$5</f>
        <v>7.0326086956521738</v>
      </c>
      <c r="H19" s="29">
        <f>[30]GECON!$K$5</f>
        <v>6.6765100671140942</v>
      </c>
      <c r="I19" s="29">
        <f>[31]GECON!$K$5</f>
        <v>6.3275862068965516</v>
      </c>
      <c r="J19" s="29">
        <f>[32]GECON!$K$5</f>
        <v>6.2560321715817695</v>
      </c>
      <c r="K19" s="29">
        <f>[33]GECON!$K$5</f>
        <v>6.2516823687752359</v>
      </c>
      <c r="L19" s="29">
        <f>[34]GECON!$K$5</f>
        <v>6.1455026455026456</v>
      </c>
      <c r="M19" s="29">
        <f>[35]GECON!$K$5</f>
        <v>6.6516129032258062</v>
      </c>
      <c r="N19" s="14">
        <f>AVERAGE(B19:M19)</f>
        <v>6.7228756125665834</v>
      </c>
    </row>
    <row r="20" spans="1:14" x14ac:dyDescent="0.25">
      <c r="A20" s="30" t="s">
        <v>32</v>
      </c>
      <c r="B20" s="31">
        <f>[36]GECON!$C$11</f>
        <v>719</v>
      </c>
      <c r="C20" s="31">
        <f>[25]GECON!$C$11</f>
        <v>719</v>
      </c>
      <c r="D20" s="31">
        <f>[37]GECON!$C$11</f>
        <v>720</v>
      </c>
      <c r="E20" s="32">
        <f>[27]GECON!$C$11</f>
        <v>720</v>
      </c>
      <c r="F20" s="32">
        <f>[28]GECON!$C$11</f>
        <v>726</v>
      </c>
      <c r="G20" s="32">
        <f>[29]GECON!$C$11</f>
        <v>726</v>
      </c>
      <c r="H20" s="32">
        <f>[30]GECON!$C$11</f>
        <v>727</v>
      </c>
      <c r="I20" s="32">
        <f>[31]GECON!$C$11</f>
        <v>732</v>
      </c>
      <c r="J20" s="32">
        <f>[32]GECON!$C$11</f>
        <v>734</v>
      </c>
      <c r="K20" s="32">
        <f>[33]GECON!$C$11</f>
        <v>734</v>
      </c>
      <c r="L20" s="32">
        <f>[34]GECON!$C$11</f>
        <v>734</v>
      </c>
      <c r="M20" s="32">
        <f>[35]GECON!$C$11</f>
        <v>734</v>
      </c>
      <c r="N20" s="33">
        <f t="shared" ref="N20:N30" si="11">AVERAGE(B20:M20)</f>
        <v>727.08333333333337</v>
      </c>
    </row>
    <row r="21" spans="1:14" x14ac:dyDescent="0.25">
      <c r="A21" s="12" t="s">
        <v>33</v>
      </c>
      <c r="B21" s="31">
        <f>[36]GECON!$F$5</f>
        <v>729</v>
      </c>
      <c r="C21" s="32">
        <f>[25]GECON!$F$5</f>
        <v>729</v>
      </c>
      <c r="D21" s="32">
        <f>[37]GECON!$F$5</f>
        <v>729</v>
      </c>
      <c r="E21" s="32">
        <f>[27]GECON!$F$5</f>
        <v>729</v>
      </c>
      <c r="F21" s="32">
        <f>[28]GECON!$F$5</f>
        <v>727</v>
      </c>
      <c r="G21" s="32">
        <f>[29]GECON!$F$5</f>
        <v>730</v>
      </c>
      <c r="H21" s="32">
        <f>[30]GECON!$F$5</f>
        <v>732</v>
      </c>
      <c r="I21" s="32">
        <f>[31]GECON!$F$5</f>
        <v>738</v>
      </c>
      <c r="J21" s="32">
        <f>[32]GECON!$F$5</f>
        <v>737</v>
      </c>
      <c r="K21" s="32">
        <f>[33]GECON!$F$5</f>
        <v>738</v>
      </c>
      <c r="L21" s="32">
        <f>[34]GECON!$F$5</f>
        <v>740</v>
      </c>
      <c r="M21" s="32">
        <f>[35]GECON!$F$5</f>
        <v>740</v>
      </c>
      <c r="N21" s="34">
        <f t="shared" si="11"/>
        <v>733.16666666666663</v>
      </c>
    </row>
    <row r="22" spans="1:14" x14ac:dyDescent="0.25">
      <c r="A22" s="12" t="s">
        <v>31</v>
      </c>
      <c r="B22" s="13">
        <f>[24]GECON!$G$5</f>
        <v>7.0205761316872426</v>
      </c>
      <c r="C22" s="29">
        <f>[25]GECON!$G$5</f>
        <v>7.0027434842249656</v>
      </c>
      <c r="D22" s="29">
        <f>[37]GECON!$G$14</f>
        <v>7.057713651498335</v>
      </c>
      <c r="E22" s="29">
        <f>[27]GECON!$G$5</f>
        <v>7.0329218106995883</v>
      </c>
      <c r="F22" s="29">
        <f>[28]GECON!$G$5</f>
        <v>6.9931224209078406</v>
      </c>
      <c r="G22" s="29">
        <f>[29]GECON!$G$5</f>
        <v>7.0315068493150683</v>
      </c>
      <c r="H22" s="29">
        <f>[30]GECON!$G$5</f>
        <v>6.6079234972677598</v>
      </c>
      <c r="I22" s="29">
        <f>[31]GECON!$G$5</f>
        <v>6.2439024390243905</v>
      </c>
      <c r="J22" s="29">
        <f>[32]GECON!$G$5</f>
        <v>6.1804613297150608</v>
      </c>
      <c r="K22" s="29">
        <f>[33]GECON!$G$5</f>
        <v>6.2100271002710024</v>
      </c>
      <c r="L22" s="29">
        <f>[34]GECON!$G$5</f>
        <v>6.0013513513513512</v>
      </c>
      <c r="M22" s="29">
        <f>[35]GECON!$G$5</f>
        <v>6.2851351351351354</v>
      </c>
      <c r="N22" s="14">
        <f t="shared" si="11"/>
        <v>6.6389487667581442</v>
      </c>
    </row>
    <row r="23" spans="1:14" x14ac:dyDescent="0.25">
      <c r="A23" s="12" t="s">
        <v>34</v>
      </c>
      <c r="B23" s="31">
        <f>[36]GECON!$F$8</f>
        <v>35</v>
      </c>
      <c r="C23" s="32">
        <f>[25]GECON!$F$8</f>
        <v>36</v>
      </c>
      <c r="D23" s="32">
        <f>[37]GECON!$F$8</f>
        <v>36</v>
      </c>
      <c r="E23" s="32">
        <f>[27]GECON!$F$8</f>
        <v>36</v>
      </c>
      <c r="F23" s="32">
        <f>[28]GECON!$F$8</f>
        <v>36</v>
      </c>
      <c r="G23" s="32">
        <f>[29]GECON!$F$8</f>
        <v>36</v>
      </c>
      <c r="H23" s="32">
        <f>[30]GECON!$F$8</f>
        <v>36</v>
      </c>
      <c r="I23" s="32">
        <f>[31]GECON!$F$8</f>
        <v>36</v>
      </c>
      <c r="J23" s="32">
        <f>[32]GECON!$F$8</f>
        <v>36</v>
      </c>
      <c r="K23" s="32">
        <f>[33]GECON!$F$8</f>
        <v>36</v>
      </c>
      <c r="L23" s="32">
        <f>[34]GECON!$F$8</f>
        <v>36</v>
      </c>
      <c r="M23" s="32">
        <f>[35]GECON!$F$8</f>
        <v>36</v>
      </c>
      <c r="N23" s="35">
        <f t="shared" si="11"/>
        <v>35.916666666666664</v>
      </c>
    </row>
    <row r="24" spans="1:14" x14ac:dyDescent="0.25">
      <c r="A24" s="12" t="s">
        <v>31</v>
      </c>
      <c r="B24" s="13">
        <f>[24]GECON!$G$8</f>
        <v>10.057142857142857</v>
      </c>
      <c r="C24" s="29">
        <f>[25]GECON!$G$8</f>
        <v>10.194444444444445</v>
      </c>
      <c r="D24" s="29">
        <f>[37]GECON!$G$8</f>
        <v>10.194444444444445</v>
      </c>
      <c r="E24" s="29">
        <f>[27]GECON!$G$8</f>
        <v>10</v>
      </c>
      <c r="F24" s="29">
        <f>[28]GECON!$G$8</f>
        <v>10.25</v>
      </c>
      <c r="G24" s="29">
        <f>[29]GECON!$G$8</f>
        <v>9.8055555555555554</v>
      </c>
      <c r="H24" s="29">
        <f>[30]GECON!$G$8</f>
        <v>9.8055555555555554</v>
      </c>
      <c r="I24" s="29">
        <f>[31]GECON!$G$8</f>
        <v>9.8055555555555554</v>
      </c>
      <c r="J24" s="29">
        <f>[32]GECON!$G$8</f>
        <v>5.083333333333333</v>
      </c>
      <c r="K24" s="29">
        <f>[33]GECON!$G$8</f>
        <v>5.083333333333333</v>
      </c>
      <c r="L24" s="29">
        <f>[34]GECON!$G$8</f>
        <v>5.083333333333333</v>
      </c>
      <c r="M24" s="29">
        <f>[35]GECON!$G$8</f>
        <v>5.8055555555555554</v>
      </c>
      <c r="N24" s="14">
        <f t="shared" si="11"/>
        <v>8.4306878306878286</v>
      </c>
    </row>
    <row r="25" spans="1:14" x14ac:dyDescent="0.25">
      <c r="A25" s="12" t="s">
        <v>35</v>
      </c>
      <c r="B25" s="31">
        <f>[36]GECON!$F$7</f>
        <v>14</v>
      </c>
      <c r="C25" s="32">
        <f>[25]GECON!$F$7</f>
        <v>14</v>
      </c>
      <c r="D25" s="32">
        <f>[37]GECON!$F$7</f>
        <v>14</v>
      </c>
      <c r="E25" s="32">
        <f>[27]GECON!$F$7</f>
        <v>14</v>
      </c>
      <c r="F25" s="32">
        <f>[28]GECON!$F$7</f>
        <v>14</v>
      </c>
      <c r="G25" s="32">
        <f>[29]GECON!$F$7</f>
        <v>14</v>
      </c>
      <c r="H25" s="32">
        <f>[30]GECON!$F$7</f>
        <v>14</v>
      </c>
      <c r="I25" s="32">
        <f>[31]GECON!$F$7</f>
        <v>14</v>
      </c>
      <c r="J25" s="32">
        <f>[32]GECON!$F$7</f>
        <v>14</v>
      </c>
      <c r="K25" s="32">
        <f>[33]GECON!$F$7</f>
        <v>14</v>
      </c>
      <c r="L25" s="32">
        <f>[34]GECON!$F$7</f>
        <v>14</v>
      </c>
      <c r="M25" s="32">
        <f>[35]GECON!$F$7</f>
        <v>14</v>
      </c>
      <c r="N25" s="35">
        <f t="shared" si="11"/>
        <v>14</v>
      </c>
    </row>
    <row r="26" spans="1:14" x14ac:dyDescent="0.25">
      <c r="A26" s="12" t="s">
        <v>31</v>
      </c>
      <c r="B26" s="13">
        <f>[24]GECON!$G$7</f>
        <v>2</v>
      </c>
      <c r="C26" s="29">
        <f>[25]GECON!$G$7</f>
        <v>2</v>
      </c>
      <c r="D26" s="29">
        <f>[37]GECON!$G$7</f>
        <v>2</v>
      </c>
      <c r="E26" s="29">
        <f>[27]GECON!$G$7</f>
        <v>2</v>
      </c>
      <c r="F26" s="29">
        <f>[28]GECON!$G$7</f>
        <v>2</v>
      </c>
      <c r="G26" s="29">
        <f>[29]GECON!$G$7</f>
        <v>2</v>
      </c>
      <c r="H26" s="29">
        <f>[30]GECON!$G$7</f>
        <v>2</v>
      </c>
      <c r="I26" s="29">
        <f>[31]GECON!$G$7</f>
        <v>2</v>
      </c>
      <c r="J26" s="29">
        <f>[32]GECON!$G$7</f>
        <v>2</v>
      </c>
      <c r="K26" s="29">
        <f>[33]GECON!$G$7</f>
        <v>2</v>
      </c>
      <c r="L26" s="29">
        <f>[34]GECON!$G$7</f>
        <v>2</v>
      </c>
      <c r="M26" s="29">
        <f>[35]GECON!$G$7</f>
        <v>3</v>
      </c>
      <c r="N26" s="35">
        <f t="shared" si="11"/>
        <v>2.0833333333333335</v>
      </c>
    </row>
    <row r="27" spans="1:14" x14ac:dyDescent="0.25">
      <c r="A27" s="12" t="s">
        <v>36</v>
      </c>
      <c r="B27" s="31">
        <f>[24]GECON!$D$6</f>
        <v>1</v>
      </c>
      <c r="C27" s="32">
        <f>[25]GECON!$F$6</f>
        <v>1</v>
      </c>
      <c r="D27" s="32">
        <f>[37]GECON!$F$6</f>
        <v>2</v>
      </c>
      <c r="E27" s="32">
        <f>[27]GECON!$F$6</f>
        <v>3</v>
      </c>
      <c r="F27" s="32">
        <f>[28]GECON!$F$6</f>
        <v>2</v>
      </c>
      <c r="G27" s="32">
        <f>[29]GECON!$F$6</f>
        <v>2</v>
      </c>
      <c r="H27" s="32">
        <f>[30]GECON!$F$6</f>
        <v>2</v>
      </c>
      <c r="I27" s="32">
        <f>[31]GECON!$F$6</f>
        <v>2</v>
      </c>
      <c r="J27" s="32">
        <f>[32]GECON!$F$6</f>
        <v>3</v>
      </c>
      <c r="K27" s="32">
        <f>[33]GECON!$F$6</f>
        <v>3</v>
      </c>
      <c r="L27" s="32">
        <f>[34]GECON!$F$6</f>
        <v>2</v>
      </c>
      <c r="M27" s="32">
        <f>[35]GECON!$F$6</f>
        <v>2</v>
      </c>
      <c r="N27" s="36">
        <f t="shared" si="11"/>
        <v>2.0833333333333335</v>
      </c>
    </row>
    <row r="28" spans="1:14" x14ac:dyDescent="0.25">
      <c r="A28" s="12" t="s">
        <v>31</v>
      </c>
      <c r="B28" s="13">
        <f>[24]GECON!$G$6</f>
        <v>2</v>
      </c>
      <c r="C28" s="29">
        <f>[25]GECON!$G$6</f>
        <v>2</v>
      </c>
      <c r="D28" s="29">
        <f>[37]GECON!$G$7</f>
        <v>2</v>
      </c>
      <c r="E28" s="29">
        <f>[27]GECON!$G$6</f>
        <v>1.3333333333333333</v>
      </c>
      <c r="F28" s="29">
        <f>[28]GECON!$G$6</f>
        <v>2</v>
      </c>
      <c r="G28" s="29">
        <f>[29]GECON!$G$6</f>
        <v>2</v>
      </c>
      <c r="H28" s="29">
        <f>[30]GECON!$G$6</f>
        <v>2</v>
      </c>
      <c r="I28" s="29">
        <f>[31]GECON!$G$6</f>
        <v>2</v>
      </c>
      <c r="J28" s="29">
        <f>[32]GECON!$G$6</f>
        <v>2</v>
      </c>
      <c r="K28" s="29">
        <f>[33]GECON!$G$6</f>
        <v>2</v>
      </c>
      <c r="L28" s="29">
        <f>[34]GECON!$G$6</f>
        <v>2</v>
      </c>
      <c r="M28" s="29">
        <f>[35]GECON!$G$6</f>
        <v>3</v>
      </c>
      <c r="N28" s="36">
        <f t="shared" si="11"/>
        <v>2.0277777777777777</v>
      </c>
    </row>
    <row r="29" spans="1:14" x14ac:dyDescent="0.25">
      <c r="A29" s="12" t="s">
        <v>37</v>
      </c>
      <c r="B29" s="31">
        <f>[24]GECON!$C$9</f>
        <v>9</v>
      </c>
      <c r="C29" s="32">
        <f>[25]GECON!$F$9</f>
        <v>9</v>
      </c>
      <c r="D29" s="32">
        <f>[37]GECON!$F$9</f>
        <v>9</v>
      </c>
      <c r="E29" s="32">
        <f>[27]GECON!$F$9</f>
        <v>9</v>
      </c>
      <c r="F29" s="32">
        <f>[28]GECON!$F$10</f>
        <v>15</v>
      </c>
      <c r="G29" s="32">
        <f>[29]GECON!$F$10</f>
        <v>14</v>
      </c>
      <c r="H29" s="32">
        <f>[30]GECON!$F$10</f>
        <v>14</v>
      </c>
      <c r="I29" s="32">
        <f>[31]GECON!$F$10</f>
        <v>14</v>
      </c>
      <c r="J29" s="32">
        <f>[32]GECON!$F$10</f>
        <v>14</v>
      </c>
      <c r="K29" s="32">
        <f>[33]GECON!$F$10</f>
        <v>14</v>
      </c>
      <c r="L29" s="32">
        <f>[34]GECON!$F$10</f>
        <v>14</v>
      </c>
      <c r="M29" s="32">
        <f>[35]GECON!$F$10</f>
        <v>14</v>
      </c>
      <c r="N29" s="35">
        <f t="shared" si="11"/>
        <v>12.416666666666666</v>
      </c>
    </row>
    <row r="30" spans="1:14" x14ac:dyDescent="0.25">
      <c r="A30" s="12" t="s">
        <v>31</v>
      </c>
      <c r="B30" s="13">
        <f>[24]GECON!$G$9</f>
        <v>5.5555555555555554</v>
      </c>
      <c r="C30" s="29">
        <f>[25]GECON!$G$9</f>
        <v>5.5555555555555554</v>
      </c>
      <c r="D30" s="29">
        <f>[37]GECON!$G$9</f>
        <v>5.5555555555555554</v>
      </c>
      <c r="E30" s="29">
        <f>[27]GECON!$G$9</f>
        <v>5.5555555555555554</v>
      </c>
      <c r="F30" s="29">
        <f>[28]GECON!$G$10</f>
        <v>0</v>
      </c>
      <c r="G30" s="29">
        <f>[29]GECON!$G$10</f>
        <v>0</v>
      </c>
      <c r="H30" s="29">
        <f>[30]GECON!$G$10</f>
        <v>0</v>
      </c>
      <c r="I30" s="29">
        <f>[31]GECON!$G$10</f>
        <v>0</v>
      </c>
      <c r="J30" s="29">
        <f>[32]GECON!$G$10</f>
        <v>0</v>
      </c>
      <c r="K30" s="29">
        <f>[33]GECON!$G$10</f>
        <v>0</v>
      </c>
      <c r="L30" s="29">
        <f>[34]GECON!$G$10</f>
        <v>0</v>
      </c>
      <c r="M30" s="29">
        <f>[35]GECON!$G$10</f>
        <v>1</v>
      </c>
      <c r="N30" s="36">
        <f t="shared" si="11"/>
        <v>1.9351851851851851</v>
      </c>
    </row>
    <row r="31" spans="1:14" x14ac:dyDescent="0.25">
      <c r="A31" s="15" t="s">
        <v>38</v>
      </c>
      <c r="B31" s="37">
        <f t="shared" ref="B31:M31" si="12">SUM(B32:B41)</f>
        <v>6350827</v>
      </c>
      <c r="C31" s="38">
        <f t="shared" si="12"/>
        <v>6690682</v>
      </c>
      <c r="D31" s="38">
        <f t="shared" si="12"/>
        <v>6714968</v>
      </c>
      <c r="E31" s="38">
        <f t="shared" si="12"/>
        <v>6673766</v>
      </c>
      <c r="F31" s="38">
        <f t="shared" si="12"/>
        <v>7030850</v>
      </c>
      <c r="G31" s="38">
        <f t="shared" si="12"/>
        <v>6618277</v>
      </c>
      <c r="H31" s="38">
        <f t="shared" si="12"/>
        <v>6973871</v>
      </c>
      <c r="I31" s="38">
        <f t="shared" si="12"/>
        <v>7033906</v>
      </c>
      <c r="J31" s="38">
        <f t="shared" si="12"/>
        <v>6988124</v>
      </c>
      <c r="K31" s="38">
        <f t="shared" si="12"/>
        <v>7359179</v>
      </c>
      <c r="L31" s="38">
        <f t="shared" si="12"/>
        <v>6550591</v>
      </c>
      <c r="M31" s="38">
        <f t="shared" si="12"/>
        <v>6219286</v>
      </c>
      <c r="N31" s="39">
        <f t="shared" ref="N31:N40" si="13">SUM(B31:M31)</f>
        <v>81204327</v>
      </c>
    </row>
    <row r="32" spans="1:14" x14ac:dyDescent="0.25">
      <c r="A32" s="12" t="s">
        <v>39</v>
      </c>
      <c r="B32" s="40">
        <f>1219105+1960587</f>
        <v>3179692</v>
      </c>
      <c r="C32" s="41">
        <f>'[1]2025'!$C$30</f>
        <v>3158279</v>
      </c>
      <c r="D32" s="41">
        <f>'[1]2025'!$D$30</f>
        <v>3166830</v>
      </c>
      <c r="E32" s="41">
        <f>'[1]2025'!$E$30</f>
        <v>3098963</v>
      </c>
      <c r="F32" s="41">
        <f>'[1]2025'!$F$30</f>
        <v>3291591</v>
      </c>
      <c r="G32" s="41">
        <f>'[1]2025'!$G$30</f>
        <v>3096922</v>
      </c>
      <c r="H32" s="41">
        <f>'[1]2025'!$H$30</f>
        <v>3398704</v>
      </c>
      <c r="I32" s="41">
        <f>'[1]2025'!$I$30</f>
        <v>3292968</v>
      </c>
      <c r="J32" s="41">
        <f>'[1]2025'!$J$30</f>
        <v>3299777</v>
      </c>
      <c r="K32" s="41">
        <f>'[1]2025'!$K$30</f>
        <v>3449191</v>
      </c>
      <c r="L32" s="41">
        <f>'[1]2025'!$L$30</f>
        <v>3028903</v>
      </c>
      <c r="M32" s="41">
        <f>'[1]2025'!$M$30</f>
        <v>2967680</v>
      </c>
      <c r="N32" s="35">
        <f t="shared" si="13"/>
        <v>38429500</v>
      </c>
    </row>
    <row r="33" spans="1:14" x14ac:dyDescent="0.25">
      <c r="A33" s="42" t="s">
        <v>40</v>
      </c>
      <c r="B33" s="43">
        <f>1959890+519481</f>
        <v>2479371</v>
      </c>
      <c r="C33" s="44">
        <f>'[1]2025'!$C$37</f>
        <v>2614168</v>
      </c>
      <c r="D33" s="44">
        <f>'[1]2025'!$D$37</f>
        <v>2471589</v>
      </c>
      <c r="E33" s="44">
        <f>'[1]2025'!$E$37</f>
        <v>2437225</v>
      </c>
      <c r="F33" s="44">
        <f>'[1]2025'!$F$37</f>
        <v>2513153</v>
      </c>
      <c r="G33" s="44">
        <f>'[1]2025'!$G$37</f>
        <v>2336184</v>
      </c>
      <c r="H33" s="44">
        <f>'[1]2025'!$H$37</f>
        <v>2515181</v>
      </c>
      <c r="I33" s="44">
        <f>'[1]2025'!$I$37</f>
        <v>2471710</v>
      </c>
      <c r="J33" s="44">
        <f>'[1]2025'!$J$37</f>
        <v>2436245</v>
      </c>
      <c r="K33" s="44">
        <f>'[1]2025'!$K$37</f>
        <v>2548819</v>
      </c>
      <c r="L33" s="44">
        <f>'[1]2025'!$L$37</f>
        <v>2323337</v>
      </c>
      <c r="M33" s="44">
        <f>'[1]2025'!$M$37</f>
        <v>2332096</v>
      </c>
      <c r="N33" s="45">
        <f>SUM(B33:M33)</f>
        <v>29479078</v>
      </c>
    </row>
    <row r="34" spans="1:14" x14ac:dyDescent="0.25">
      <c r="A34" s="42" t="s">
        <v>41</v>
      </c>
      <c r="B34" s="43">
        <v>490773</v>
      </c>
      <c r="C34" s="44">
        <f>'[1]2025'!$C$38</f>
        <v>500563</v>
      </c>
      <c r="D34" s="44">
        <f>'[1]2025'!$D$38</f>
        <v>510083</v>
      </c>
      <c r="E34" s="44">
        <f>'[1]2025'!$E$38</f>
        <v>511868</v>
      </c>
      <c r="F34" s="44">
        <f>'[1]2025'!$F$38</f>
        <v>526381</v>
      </c>
      <c r="G34" s="44">
        <f>'[1]2025'!$G$38</f>
        <v>509339</v>
      </c>
      <c r="H34" s="44">
        <f>'[1]2025'!$H$38</f>
        <v>546087</v>
      </c>
      <c r="I34" s="44">
        <f>'[1]2025'!$I$38</f>
        <v>547791</v>
      </c>
      <c r="J34" s="44">
        <f>'[1]2025'!$J$38</f>
        <v>543852</v>
      </c>
      <c r="K34" s="44">
        <f>'[1]2025'!$K$38</f>
        <v>577728</v>
      </c>
      <c r="L34" s="44">
        <f>'[1]2025'!$L$38</f>
        <v>541029</v>
      </c>
      <c r="M34" s="44">
        <f>'[1]2025'!$M$38</f>
        <v>541598</v>
      </c>
      <c r="N34" s="45">
        <f>SUM(B34:M34)</f>
        <v>6347092</v>
      </c>
    </row>
    <row r="35" spans="1:14" x14ac:dyDescent="0.25">
      <c r="A35" s="12" t="s">
        <v>42</v>
      </c>
      <c r="B35" s="40">
        <f>'[1]2025'!$B$33</f>
        <v>72902</v>
      </c>
      <c r="C35" s="41">
        <f>'[1]2025'!$C$33</f>
        <v>167013</v>
      </c>
      <c r="D35" s="41">
        <f>'[1]2025'!$D$33</f>
        <v>232944</v>
      </c>
      <c r="E35" s="41">
        <f>'[1]2025'!$E$33</f>
        <v>257183</v>
      </c>
      <c r="F35" s="41">
        <f>'[1]2025'!$F$33</f>
        <v>315439</v>
      </c>
      <c r="G35" s="41">
        <f>'[1]2025'!$G$33</f>
        <v>296039</v>
      </c>
      <c r="H35" s="41">
        <f>'[1]2025'!$H$33</f>
        <v>212200</v>
      </c>
      <c r="I35" s="41">
        <f>'[1]2025'!$I$33</f>
        <v>312664</v>
      </c>
      <c r="J35" s="41">
        <f>'[1]2025'!$J$33</f>
        <v>305346</v>
      </c>
      <c r="K35" s="41">
        <f>'[1]2025'!$K$33</f>
        <v>346589</v>
      </c>
      <c r="L35" s="41">
        <f>'[1]2025'!$L$33</f>
        <v>295490</v>
      </c>
      <c r="M35" s="41">
        <f>'[1]2025'!$M$33</f>
        <v>168078</v>
      </c>
      <c r="N35" s="35">
        <f t="shared" si="13"/>
        <v>2981887</v>
      </c>
    </row>
    <row r="36" spans="1:14" x14ac:dyDescent="0.25">
      <c r="A36" s="42" t="s">
        <v>43</v>
      </c>
      <c r="B36" s="40">
        <f>'[1]2025'!$B$34</f>
        <v>2794</v>
      </c>
      <c r="C36" s="41">
        <f>'[1]2025'!$C$34</f>
        <v>109189</v>
      </c>
      <c r="D36" s="41">
        <f>'[1]2025'!$D$34</f>
        <v>192637</v>
      </c>
      <c r="E36" s="41">
        <f>'[1]2025'!$E$34</f>
        <v>226702</v>
      </c>
      <c r="F36" s="41">
        <f>'[1]2025'!$F$34</f>
        <v>235496</v>
      </c>
      <c r="G36" s="41">
        <f>'[1]2025'!$G$34</f>
        <v>235939</v>
      </c>
      <c r="H36" s="41">
        <f>'[1]2025'!$H$34</f>
        <v>150653</v>
      </c>
      <c r="I36" s="41">
        <f>'[1]2025'!$I$34</f>
        <v>253684</v>
      </c>
      <c r="J36" s="41">
        <f>'[1]2025'!$J$34</f>
        <v>248128</v>
      </c>
      <c r="K36" s="41">
        <f>'[1]2025'!$K$34</f>
        <v>271773</v>
      </c>
      <c r="L36" s="41">
        <f>'[1]2025'!$L$34</f>
        <v>211173</v>
      </c>
      <c r="M36" s="41">
        <f>'[1]2025'!$M$34</f>
        <v>66809</v>
      </c>
      <c r="N36" s="35">
        <f t="shared" si="13"/>
        <v>2204977</v>
      </c>
    </row>
    <row r="37" spans="1:14" x14ac:dyDescent="0.25">
      <c r="A37" s="42" t="s">
        <v>44</v>
      </c>
      <c r="B37" s="43">
        <v>88552</v>
      </c>
      <c r="C37" s="44">
        <f>'[1]2025'!$C$35</f>
        <v>100454</v>
      </c>
      <c r="D37" s="44">
        <f>'[1]2025'!$D$35</f>
        <v>99963</v>
      </c>
      <c r="E37" s="44">
        <f>'[1]2025'!$E$35</f>
        <v>99726</v>
      </c>
      <c r="F37" s="44">
        <f>'[1]2025'!$F$35</f>
        <v>103572</v>
      </c>
      <c r="G37" s="44">
        <f>'[1]2025'!$G$35</f>
        <v>101241</v>
      </c>
      <c r="H37" s="44">
        <f>'[1]2025'!$H$35</f>
        <v>103786</v>
      </c>
      <c r="I37" s="44">
        <f>'[1]2025'!$I$35</f>
        <v>107018</v>
      </c>
      <c r="J37" s="44">
        <f>'[1]2025'!$J$35</f>
        <v>105268</v>
      </c>
      <c r="K37" s="44">
        <f>'[1]2025'!$K$35</f>
        <v>110219</v>
      </c>
      <c r="L37" s="44">
        <f>'[1]2025'!$L$35</f>
        <v>102635</v>
      </c>
      <c r="M37" s="44">
        <f>'[1]2025'!$M$35</f>
        <v>97908</v>
      </c>
      <c r="N37" s="45">
        <f t="shared" si="13"/>
        <v>1220342</v>
      </c>
    </row>
    <row r="38" spans="1:14" x14ac:dyDescent="0.25">
      <c r="A38" s="12" t="s">
        <v>45</v>
      </c>
      <c r="B38" s="40">
        <v>35868</v>
      </c>
      <c r="C38" s="41">
        <f>'[1]2025'!$C$40</f>
        <v>40263</v>
      </c>
      <c r="D38" s="41">
        <f>'[1]2025'!$D$40</f>
        <v>40306</v>
      </c>
      <c r="E38" s="41">
        <f>'[1]2025'!$E$40</f>
        <v>41423</v>
      </c>
      <c r="F38" s="41">
        <f>'[1]2025'!$F$40</f>
        <v>44471</v>
      </c>
      <c r="G38" s="41">
        <f>'[1]2025'!$G$40</f>
        <v>41952</v>
      </c>
      <c r="H38" s="41">
        <f>'[1]2025'!$H$40</f>
        <v>46611</v>
      </c>
      <c r="I38" s="41">
        <f>'[1]2025'!$I$40</f>
        <v>47479</v>
      </c>
      <c r="J38" s="41">
        <f>'[1]2025'!$J$40</f>
        <v>48870</v>
      </c>
      <c r="K38" s="41">
        <f>'[1]2025'!$K$40</f>
        <v>54086</v>
      </c>
      <c r="L38" s="41">
        <f>'[1]2025'!$L$40</f>
        <v>47438</v>
      </c>
      <c r="M38" s="41">
        <f>'[1]2025'!$M$40</f>
        <v>44381</v>
      </c>
      <c r="N38" s="35">
        <f>SUM(B38:M38)</f>
        <v>533148</v>
      </c>
    </row>
    <row r="39" spans="1:14" x14ac:dyDescent="0.25">
      <c r="A39" s="46" t="s">
        <v>46</v>
      </c>
      <c r="B39" s="47">
        <v>875</v>
      </c>
      <c r="C39" s="48">
        <f>'[1]2025'!$C$39</f>
        <v>748</v>
      </c>
      <c r="D39" s="48">
        <f>'[1]2025'!$D$39</f>
        <v>605</v>
      </c>
      <c r="E39" s="48">
        <f>'[1]2025'!$E$39</f>
        <v>652</v>
      </c>
      <c r="F39" s="48">
        <f>'[1]2025'!$F$39</f>
        <v>732</v>
      </c>
      <c r="G39" s="48">
        <f>'[1]2025'!$G$39</f>
        <v>647</v>
      </c>
      <c r="H39" s="48">
        <f>'[1]2025'!$H$39</f>
        <v>638</v>
      </c>
      <c r="I39" s="48">
        <f>'[1]2025'!$I$39</f>
        <v>582</v>
      </c>
      <c r="J39" s="48">
        <f>'[1]2025'!$J$39</f>
        <v>626</v>
      </c>
      <c r="K39" s="48">
        <f>'[1]2025'!$K$39</f>
        <v>765</v>
      </c>
      <c r="L39" s="48">
        <f>'[1]2025'!$L$39</f>
        <v>574</v>
      </c>
      <c r="M39" s="48">
        <f>'[1]2025'!$M$39</f>
        <v>730</v>
      </c>
      <c r="N39" s="49">
        <f>SUM(B39:M39)</f>
        <v>8174</v>
      </c>
    </row>
    <row r="40" spans="1:14" ht="15.75" thickBot="1" x14ac:dyDescent="0.3">
      <c r="A40" s="50" t="s">
        <v>47</v>
      </c>
      <c r="B40" s="51">
        <v>0</v>
      </c>
      <c r="C40" s="52">
        <f>'[1]2025'!$C$36</f>
        <v>5</v>
      </c>
      <c r="D40" s="52">
        <f>'[1]2025'!$D$36</f>
        <v>11</v>
      </c>
      <c r="E40" s="52">
        <f>'[1]2025'!$E$36</f>
        <v>24</v>
      </c>
      <c r="F40" s="52">
        <f>'[1]2025'!$F$36</f>
        <v>15</v>
      </c>
      <c r="G40" s="52">
        <f>'[1]2025'!$G$36</f>
        <v>14</v>
      </c>
      <c r="H40" s="52">
        <f>'[1]2025'!$H$36</f>
        <v>11</v>
      </c>
      <c r="I40" s="52">
        <f>'[1]2025'!$I$36</f>
        <v>10</v>
      </c>
      <c r="J40" s="52">
        <f>'[1]2025'!$J$36</f>
        <v>12</v>
      </c>
      <c r="K40" s="52">
        <f>'[1]2025'!$K$36</f>
        <v>9</v>
      </c>
      <c r="L40" s="52">
        <f>'[1]2025'!$L$36</f>
        <v>12</v>
      </c>
      <c r="M40" s="52">
        <f>'[1]2025'!$M$36</f>
        <v>6</v>
      </c>
      <c r="N40" s="53">
        <f t="shared" si="13"/>
        <v>129</v>
      </c>
    </row>
    <row r="41" spans="1:14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</row>
    <row r="42" spans="1:14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</row>
    <row r="43" spans="1:14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54"/>
    </row>
    <row r="44" spans="1:14" ht="24.75" thickBot="1" x14ac:dyDescent="0.3">
      <c r="A44" s="2" t="s">
        <v>48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3" t="str">
        <f>N2</f>
        <v>Ano:2025</v>
      </c>
    </row>
    <row r="45" spans="1:14" ht="16.5" thickBot="1" x14ac:dyDescent="0.3">
      <c r="A45" s="55" t="s">
        <v>2</v>
      </c>
      <c r="B45" s="56" t="s">
        <v>3</v>
      </c>
      <c r="C45" s="57" t="s">
        <v>4</v>
      </c>
      <c r="D45" s="57" t="s">
        <v>5</v>
      </c>
      <c r="E45" s="57" t="s">
        <v>6</v>
      </c>
      <c r="F45" s="57" t="s">
        <v>7</v>
      </c>
      <c r="G45" s="57" t="s">
        <v>8</v>
      </c>
      <c r="H45" s="57" t="s">
        <v>9</v>
      </c>
      <c r="I45" s="57" t="s">
        <v>10</v>
      </c>
      <c r="J45" s="57" t="s">
        <v>11</v>
      </c>
      <c r="K45" s="57" t="s">
        <v>12</v>
      </c>
      <c r="L45" s="57" t="s">
        <v>13</v>
      </c>
      <c r="M45" s="57" t="s">
        <v>14</v>
      </c>
      <c r="N45" s="7" t="s">
        <v>15</v>
      </c>
    </row>
    <row r="46" spans="1:14" x14ac:dyDescent="0.25">
      <c r="A46" s="58" t="str">
        <f t="shared" ref="A46:A82" si="14">A4</f>
        <v>Custo Por KM  (R$/km)</v>
      </c>
      <c r="B46" s="59">
        <f t="shared" ref="B46:N46" si="15">B47/B57</f>
        <v>9.7827295589704946</v>
      </c>
      <c r="C46" s="60">
        <f t="shared" si="15"/>
        <v>9.9125999724259923</v>
      </c>
      <c r="D46" s="60">
        <f t="shared" si="15"/>
        <v>9.9125999416477963</v>
      </c>
      <c r="E46" s="60">
        <f t="shared" si="15"/>
        <v>9.9126000190590897</v>
      </c>
      <c r="F46" s="60">
        <f t="shared" si="15"/>
        <v>9.9130609399362566</v>
      </c>
      <c r="G46" s="60">
        <f t="shared" si="15"/>
        <v>9.9126000361681879</v>
      </c>
      <c r="H46" s="60">
        <f t="shared" si="15"/>
        <v>9.9126000364335063</v>
      </c>
      <c r="I46" s="60">
        <f t="shared" si="15"/>
        <v>9.9126000290257625</v>
      </c>
      <c r="J46" s="60">
        <f t="shared" si="15"/>
        <v>9.9126000521261268</v>
      </c>
      <c r="K46" s="60">
        <f t="shared" si="15"/>
        <v>9.9125997702856861</v>
      </c>
      <c r="L46" s="60">
        <f t="shared" si="15"/>
        <v>9.9125998314522565</v>
      </c>
      <c r="M46" s="60">
        <f t="shared" si="15"/>
        <v>9.912600009842242</v>
      </c>
      <c r="N46" s="61">
        <f t="shared" si="15"/>
        <v>9.9020321671858529</v>
      </c>
    </row>
    <row r="47" spans="1:14" x14ac:dyDescent="0.25">
      <c r="A47" s="12" t="str">
        <f t="shared" si="14"/>
        <v>(1) Custo Total   (R$)</v>
      </c>
      <c r="B47" s="13">
        <v>46863843.219999999</v>
      </c>
      <c r="C47" s="13">
        <f>'[1]2025'!$C$45</f>
        <v>45469106.68</v>
      </c>
      <c r="D47" s="13">
        <f>'[1]2025'!$D$45</f>
        <v>47879701.659999996</v>
      </c>
      <c r="E47" s="13">
        <f>'[1]2025'!$E$45</f>
        <v>46691305.100000001</v>
      </c>
      <c r="F47" s="13">
        <f>'[1]2025'!$F$45</f>
        <v>49296690.189999998</v>
      </c>
      <c r="G47" s="13">
        <f>'[1]2025'!$G$45</f>
        <v>46800667.130000003</v>
      </c>
      <c r="H47" s="13">
        <f>'[1]2025'!$H$45</f>
        <v>50642716.659999996</v>
      </c>
      <c r="I47" s="13">
        <f>'[1]2025'!$I$45</f>
        <v>49725283.880000003</v>
      </c>
      <c r="J47" s="13">
        <f>'[1]2025'!$J$45</f>
        <v>49550330.57</v>
      </c>
      <c r="K47" s="13">
        <f>'[1]2025'!$K$45</f>
        <v>51609020.009999998</v>
      </c>
      <c r="L47" s="13">
        <f>'[1]2025'!$L$45</f>
        <v>46821620.210000001</v>
      </c>
      <c r="M47" s="13">
        <f>'[1]2025'!$M$45</f>
        <v>49446963.549999997</v>
      </c>
      <c r="N47" s="14">
        <f t="shared" ref="N47:N54" si="16">SUM(B47:M47)</f>
        <v>580797248.8599999</v>
      </c>
    </row>
    <row r="48" spans="1:14" x14ac:dyDescent="0.25">
      <c r="A48" s="12" t="str">
        <f t="shared" si="14"/>
        <v>Receita Arrecadada Efetiva (R$)</v>
      </c>
      <c r="B48" s="13">
        <v>30969551.239999998</v>
      </c>
      <c r="C48" s="13">
        <f>[2]RECUST!$K$7</f>
        <v>32452846.82</v>
      </c>
      <c r="D48" s="13">
        <f>[3]RECUST!$K$7</f>
        <v>31919651.59</v>
      </c>
      <c r="E48" s="13">
        <f>[4]RECUST!$K$7</f>
        <v>31418715.27</v>
      </c>
      <c r="F48" s="13">
        <f>[5]RECUST!$K$7</f>
        <v>33256018.289999999</v>
      </c>
      <c r="G48" s="13">
        <f>[6]RECUST!$K$7</f>
        <v>30916502.23</v>
      </c>
      <c r="H48" s="13">
        <f>[7]RECUST!$K$7</f>
        <v>33570467.899999999</v>
      </c>
      <c r="I48" s="13">
        <f>[8]RECUST!$K$7</f>
        <v>32841725.84</v>
      </c>
      <c r="J48" s="63">
        <v>32615347.25</v>
      </c>
      <c r="K48" s="13">
        <f>[10]RECUST!$K$7</f>
        <v>34344091.75</v>
      </c>
      <c r="L48" s="13">
        <f>[11]RECUST!$K$7</f>
        <v>30566389.469999999</v>
      </c>
      <c r="M48" s="13">
        <f>[12]RECUST!$K$7</f>
        <v>30313101.699999999</v>
      </c>
      <c r="N48" s="14">
        <f t="shared" si="16"/>
        <v>385184409.34999996</v>
      </c>
    </row>
    <row r="49" spans="1:14" x14ac:dyDescent="0.25">
      <c r="A49" s="15" t="str">
        <f t="shared" si="14"/>
        <v>Gerenciamento CETURB (5% da receita) (R$)</v>
      </c>
      <c r="B49" s="16">
        <f>B48*0.05</f>
        <v>1548477.5619999999</v>
      </c>
      <c r="C49" s="16">
        <f t="shared" ref="C49:M49" si="17">C48*0.05</f>
        <v>1622642.341</v>
      </c>
      <c r="D49" s="16">
        <f t="shared" si="17"/>
        <v>1595982.5795</v>
      </c>
      <c r="E49" s="16">
        <f t="shared" si="17"/>
        <v>1570935.7635000001</v>
      </c>
      <c r="F49" s="16">
        <f t="shared" si="17"/>
        <v>1662800.9145</v>
      </c>
      <c r="G49" s="16">
        <f t="shared" si="17"/>
        <v>1545825.1115000001</v>
      </c>
      <c r="H49" s="16">
        <f t="shared" si="17"/>
        <v>1678523.395</v>
      </c>
      <c r="I49" s="16">
        <f t="shared" si="17"/>
        <v>1642086.2920000001</v>
      </c>
      <c r="J49" s="16">
        <f t="shared" si="17"/>
        <v>1630767.3625</v>
      </c>
      <c r="K49" s="16">
        <f t="shared" si="17"/>
        <v>1717204.5875000001</v>
      </c>
      <c r="L49" s="16">
        <f t="shared" si="17"/>
        <v>1528319.4735000001</v>
      </c>
      <c r="M49" s="16">
        <f t="shared" si="17"/>
        <v>1515655.085</v>
      </c>
      <c r="N49" s="17">
        <f t="shared" si="16"/>
        <v>19259220.467500001</v>
      </c>
    </row>
    <row r="50" spans="1:14" x14ac:dyDescent="0.25">
      <c r="A50" s="15" t="str">
        <f t="shared" si="14"/>
        <v>(2) Receita Efetiva Líquida(R$)</v>
      </c>
      <c r="B50" s="16">
        <f>B48-B49</f>
        <v>29421073.677999999</v>
      </c>
      <c r="C50" s="16">
        <f t="shared" ref="C50:M50" si="18">C48-C49</f>
        <v>30830204.479000002</v>
      </c>
      <c r="D50" s="16">
        <f t="shared" si="18"/>
        <v>30323669.010499999</v>
      </c>
      <c r="E50" s="16">
        <f t="shared" si="18"/>
        <v>29847779.506499998</v>
      </c>
      <c r="F50" s="16">
        <f t="shared" si="18"/>
        <v>31593217.375500001</v>
      </c>
      <c r="G50" s="16">
        <f t="shared" si="18"/>
        <v>29370677.118500002</v>
      </c>
      <c r="H50" s="16">
        <f t="shared" si="18"/>
        <v>31891944.504999999</v>
      </c>
      <c r="I50" s="16">
        <f t="shared" si="18"/>
        <v>31199639.548</v>
      </c>
      <c r="J50" s="16">
        <f t="shared" si="18"/>
        <v>30984579.887499999</v>
      </c>
      <c r="K50" s="16">
        <f t="shared" si="18"/>
        <v>32626887.162500001</v>
      </c>
      <c r="L50" s="16">
        <f t="shared" si="18"/>
        <v>29038069.9965</v>
      </c>
      <c r="M50" s="16">
        <f t="shared" si="18"/>
        <v>28797446.614999998</v>
      </c>
      <c r="N50" s="17">
        <f t="shared" si="16"/>
        <v>365925188.88250005</v>
      </c>
    </row>
    <row r="51" spans="1:14" x14ac:dyDescent="0.25">
      <c r="A51" s="15" t="str">
        <f t="shared" si="14"/>
        <v>(3) % Evasão da receita (2,64%) (R$)</v>
      </c>
      <c r="B51" s="16">
        <f>B50*0.0264</f>
        <v>776716.34509920003</v>
      </c>
      <c r="C51" s="16">
        <f t="shared" ref="C51:M51" si="19">C50*0.0264</f>
        <v>813917.39824560005</v>
      </c>
      <c r="D51" s="16">
        <f t="shared" si="19"/>
        <v>800544.86187719996</v>
      </c>
      <c r="E51" s="16">
        <f t="shared" si="19"/>
        <v>787981.37897159997</v>
      </c>
      <c r="F51" s="16">
        <f t="shared" si="19"/>
        <v>834060.93871320004</v>
      </c>
      <c r="G51" s="16">
        <f t="shared" si="19"/>
        <v>775385.87592840008</v>
      </c>
      <c r="H51" s="16">
        <f t="shared" si="19"/>
        <v>841947.33493199991</v>
      </c>
      <c r="I51" s="16">
        <f t="shared" si="19"/>
        <v>823670.48406719998</v>
      </c>
      <c r="J51" s="16">
        <f t="shared" si="19"/>
        <v>817992.90902999998</v>
      </c>
      <c r="K51" s="16">
        <f t="shared" si="19"/>
        <v>861349.82108999998</v>
      </c>
      <c r="L51" s="16">
        <f t="shared" si="19"/>
        <v>766605.04790760006</v>
      </c>
      <c r="M51" s="16">
        <f t="shared" si="19"/>
        <v>760252.59063599992</v>
      </c>
      <c r="N51" s="17">
        <f t="shared" si="16"/>
        <v>9660424.9864979982</v>
      </c>
    </row>
    <row r="52" spans="1:14" x14ac:dyDescent="0.25">
      <c r="A52" s="12" t="str">
        <f t="shared" si="14"/>
        <v>(4) Receitas Acessórias (R$)</v>
      </c>
      <c r="B52" s="13">
        <v>237392.96</v>
      </c>
      <c r="C52" s="13">
        <f>'[13]SUBSÍDIO JANEIRO 2025'!$C$9</f>
        <v>236197.04268170134</v>
      </c>
      <c r="D52" s="13">
        <f>'[14]SUBSÍDIO JANEIRO 2025'!$C$9</f>
        <v>235681.02670149534</v>
      </c>
      <c r="E52" s="13">
        <f>'[15]SUBSÍDIO JANEIRO 2025'!$C$9</f>
        <v>235056.49062689382</v>
      </c>
      <c r="F52" s="13">
        <f>'[16]SUBSÍDIO JANEIRO 2025'!$C$9</f>
        <v>233956.61198281683</v>
      </c>
      <c r="G52" s="13">
        <f>'[17]ENTRADA DE DADOS '!$F$7*3</f>
        <v>233687.58121939359</v>
      </c>
      <c r="H52" s="13">
        <f>'[18]SUBSÍDIO JANEIRO 2025'!$C$9</f>
        <v>232987.05000000002</v>
      </c>
      <c r="I52" s="13">
        <f>'[19]SUBSÍDIO JANEIRO 2025'!$C$9</f>
        <v>232722.18654990944</v>
      </c>
      <c r="J52" s="13">
        <f>[20]Remuneração!$P$7</f>
        <v>232354.11534112509</v>
      </c>
      <c r="K52" s="13">
        <f>[21]Remuneração!$P$7</f>
        <v>233366.89161651838</v>
      </c>
      <c r="L52" s="13">
        <f>[22]Remuneração!$P$7</f>
        <v>234547.34910609465</v>
      </c>
      <c r="M52" s="13">
        <f>[23]Remuneração!$P$7</f>
        <v>235497.28446542335</v>
      </c>
      <c r="N52" s="14">
        <f t="shared" si="16"/>
        <v>2813446.590291372</v>
      </c>
    </row>
    <row r="53" spans="1:14" x14ac:dyDescent="0.25">
      <c r="A53" s="15" t="str">
        <f t="shared" si="14"/>
        <v>Subsídio Tarifário = (1)-(2)-(3)-(4) (R$)</v>
      </c>
      <c r="B53" s="16">
        <f>B47-B50-B51-B52</f>
        <v>16428660.236900799</v>
      </c>
      <c r="C53" s="16">
        <f t="shared" ref="C53:M53" si="20">C47-C50-C51-C52</f>
        <v>13588787.760072697</v>
      </c>
      <c r="D53" s="16">
        <f t="shared" si="20"/>
        <v>16519806.760921303</v>
      </c>
      <c r="E53" s="16">
        <f t="shared" si="20"/>
        <v>15820487.72390151</v>
      </c>
      <c r="F53" s="16">
        <f t="shared" si="20"/>
        <v>16635455.263803979</v>
      </c>
      <c r="G53" s="16">
        <f t="shared" si="20"/>
        <v>16420916.554352207</v>
      </c>
      <c r="H53" s="16">
        <f t="shared" si="20"/>
        <v>17675837.770067997</v>
      </c>
      <c r="I53" s="16">
        <f t="shared" si="20"/>
        <v>17469251.661382891</v>
      </c>
      <c r="J53" s="16">
        <f t="shared" si="20"/>
        <v>17515403.658128873</v>
      </c>
      <c r="K53" s="16">
        <f t="shared" si="20"/>
        <v>17887416.134793475</v>
      </c>
      <c r="L53" s="16">
        <f t="shared" si="20"/>
        <v>16782397.816486306</v>
      </c>
      <c r="M53" s="16">
        <f t="shared" si="20"/>
        <v>19653767.059898574</v>
      </c>
      <c r="N53" s="17">
        <f t="shared" si="16"/>
        <v>202398188.40071061</v>
      </c>
    </row>
    <row r="54" spans="1:14" x14ac:dyDescent="0.25">
      <c r="A54" s="15" t="str">
        <f t="shared" si="14"/>
        <v>Gerenciamento CETURB (5% do subsídio) (R$)</v>
      </c>
      <c r="B54" s="16">
        <f>B53*0.05</f>
        <v>821433.01184504002</v>
      </c>
      <c r="C54" s="16">
        <f t="shared" ref="C54:M54" si="21">C53*0.05</f>
        <v>679439.38800363487</v>
      </c>
      <c r="D54" s="16">
        <f t="shared" si="21"/>
        <v>825990.33804606518</v>
      </c>
      <c r="E54" s="16">
        <f t="shared" si="21"/>
        <v>791024.38619507558</v>
      </c>
      <c r="F54" s="16">
        <f t="shared" si="21"/>
        <v>831772.76319019904</v>
      </c>
      <c r="G54" s="16">
        <f t="shared" si="21"/>
        <v>821045.8277176104</v>
      </c>
      <c r="H54" s="16">
        <f t="shared" si="21"/>
        <v>883791.88850339991</v>
      </c>
      <c r="I54" s="16">
        <f t="shared" si="21"/>
        <v>873462.58306914463</v>
      </c>
      <c r="J54" s="16">
        <f t="shared" si="21"/>
        <v>875770.18290644372</v>
      </c>
      <c r="K54" s="16">
        <f t="shared" si="21"/>
        <v>894370.80673967383</v>
      </c>
      <c r="L54" s="16">
        <f t="shared" si="21"/>
        <v>839119.89082431537</v>
      </c>
      <c r="M54" s="16">
        <f t="shared" si="21"/>
        <v>982688.35299492872</v>
      </c>
      <c r="N54" s="17">
        <f t="shared" si="16"/>
        <v>10119909.42003553</v>
      </c>
    </row>
    <row r="55" spans="1:14" x14ac:dyDescent="0.25">
      <c r="A55" s="15" t="str">
        <f t="shared" si="14"/>
        <v>IPK - Índice de passageiro por km</v>
      </c>
      <c r="B55" s="18">
        <f t="shared" ref="B55:N55" si="22">B73/B57</f>
        <v>1.4313604468387728</v>
      </c>
      <c r="C55" s="18">
        <f t="shared" si="22"/>
        <v>1.573710337067787</v>
      </c>
      <c r="D55" s="18">
        <f t="shared" si="22"/>
        <v>1.494277853920003</v>
      </c>
      <c r="E55" s="18">
        <f t="shared" si="22"/>
        <v>1.5165822261230744</v>
      </c>
      <c r="F55" s="18">
        <f t="shared" si="22"/>
        <v>1.5365147975127293</v>
      </c>
      <c r="G55" s="18">
        <f t="shared" si="22"/>
        <v>1.5113222952443073</v>
      </c>
      <c r="H55" s="18">
        <f t="shared" si="22"/>
        <v>1.4825459399506704</v>
      </c>
      <c r="I55" s="18">
        <f t="shared" si="22"/>
        <v>1.5147068076174726</v>
      </c>
      <c r="J55" s="18">
        <f t="shared" si="22"/>
        <v>1.4942481716716283</v>
      </c>
      <c r="K55" s="18">
        <f t="shared" si="22"/>
        <v>1.5240854885981991</v>
      </c>
      <c r="L55" s="18">
        <f t="shared" si="22"/>
        <v>1.4993372390292738</v>
      </c>
      <c r="M55" s="18">
        <f t="shared" si="22"/>
        <v>1.3695267250123853</v>
      </c>
      <c r="N55" s="20">
        <f t="shared" si="22"/>
        <v>1.4952617964303807</v>
      </c>
    </row>
    <row r="56" spans="1:14" x14ac:dyDescent="0.25">
      <c r="A56" s="15" t="str">
        <f t="shared" si="14"/>
        <v>Passageiro por Viagem</v>
      </c>
      <c r="B56" s="21">
        <f t="shared" ref="B56:N56" si="23">B73/B58</f>
        <v>44.790626275822653</v>
      </c>
      <c r="C56" s="21">
        <f t="shared" si="23"/>
        <v>49.268246238478262</v>
      </c>
      <c r="D56" s="21">
        <f t="shared" si="23"/>
        <v>46.850907627445956</v>
      </c>
      <c r="E56" s="21">
        <f t="shared" si="23"/>
        <v>47.606720269770449</v>
      </c>
      <c r="F56" s="21">
        <f t="shared" si="23"/>
        <v>48.112502676086493</v>
      </c>
      <c r="G56" s="21">
        <f t="shared" si="23"/>
        <v>47.300703333708974</v>
      </c>
      <c r="H56" s="21">
        <f t="shared" si="23"/>
        <v>46.413611169836294</v>
      </c>
      <c r="I56" s="21">
        <f t="shared" si="23"/>
        <v>47.402620817438013</v>
      </c>
      <c r="J56" s="21">
        <f t="shared" si="23"/>
        <v>46.580695654885332</v>
      </c>
      <c r="K56" s="21">
        <f t="shared" si="23"/>
        <v>47.586968320364626</v>
      </c>
      <c r="L56" s="21">
        <f t="shared" si="23"/>
        <v>47.028913134425487</v>
      </c>
      <c r="M56" s="21">
        <f t="shared" si="23"/>
        <v>42.889442756334596</v>
      </c>
      <c r="N56" s="23">
        <f t="shared" si="23"/>
        <v>46.804313184291473</v>
      </c>
    </row>
    <row r="57" spans="1:14" x14ac:dyDescent="0.25">
      <c r="A57" s="12" t="str">
        <f t="shared" si="14"/>
        <v>Km Remunerada</v>
      </c>
      <c r="B57" s="13">
        <f>4080.31+4786386.7</f>
        <v>4790467.01</v>
      </c>
      <c r="C57" s="13">
        <f>'[1]2025'!$C$54</f>
        <v>4587001.07</v>
      </c>
      <c r="D57" s="13">
        <f>'[1]2025'!$D$54</f>
        <v>4830186.0199999996</v>
      </c>
      <c r="E57" s="13">
        <f>'[1]2025'!$E$54</f>
        <v>4710298.51</v>
      </c>
      <c r="F57" s="13">
        <f>'[1]2025'!$F$54</f>
        <v>4972902.97</v>
      </c>
      <c r="G57" s="13">
        <f>'[1]2025'!$G$54</f>
        <v>4721331.1300000008</v>
      </c>
      <c r="H57" s="13">
        <f>'[1]2025'!$H$54</f>
        <v>5108923.6399999997</v>
      </c>
      <c r="I57" s="13">
        <f>'[1]2025'!$I$54</f>
        <v>5016371.46</v>
      </c>
      <c r="J57" s="13">
        <f>'[1]2025'!$J$54</f>
        <v>4998721.8599999994</v>
      </c>
      <c r="K57" s="13">
        <f>'[1]2025'!$K$54</f>
        <v>5206406.1100000003</v>
      </c>
      <c r="L57" s="13">
        <f>'[1]2025'!$L$54</f>
        <v>4723445.01</v>
      </c>
      <c r="M57" s="13">
        <f>'[1]2025'!$M$54</f>
        <v>4988294.04</v>
      </c>
      <c r="N57" s="14">
        <f>SUM(B57:M57)</f>
        <v>58654348.829999998</v>
      </c>
    </row>
    <row r="58" spans="1:14" x14ac:dyDescent="0.25">
      <c r="A58" s="12" t="str">
        <f t="shared" si="14"/>
        <v>Viagens Remuneradas</v>
      </c>
      <c r="B58" s="13">
        <f>171+152916.5</f>
        <v>153087.5</v>
      </c>
      <c r="C58" s="13">
        <f>'[1]2025'!$C$55</f>
        <v>146516.5</v>
      </c>
      <c r="D58" s="13">
        <f>'[1]2025'!$D$55</f>
        <v>154055.5</v>
      </c>
      <c r="E58" s="13">
        <f>'[1]2025'!$E$55</f>
        <v>150053.5</v>
      </c>
      <c r="F58" s="13">
        <f>'[1]2025'!$F$55</f>
        <v>158814</v>
      </c>
      <c r="G58" s="13">
        <f>'[1]2025'!$G$55</f>
        <v>150853</v>
      </c>
      <c r="H58" s="13">
        <f>'[1]2025'!$H$55</f>
        <v>163189.5</v>
      </c>
      <c r="I58" s="13">
        <f>'[1]2025'!$I$55</f>
        <v>160293.5</v>
      </c>
      <c r="J58" s="13">
        <f>'[1]2025'!$J$55</f>
        <v>160352.5</v>
      </c>
      <c r="K58" s="13">
        <f>'[1]2025'!$K$55</f>
        <v>166747.5</v>
      </c>
      <c r="L58" s="13">
        <f>'[1]2025'!$L$55</f>
        <v>150589</v>
      </c>
      <c r="M58" s="13">
        <f>'[1]2025'!$M$55</f>
        <v>159284</v>
      </c>
      <c r="N58" s="14">
        <f>SUM(B58:M58)</f>
        <v>1873836</v>
      </c>
    </row>
    <row r="59" spans="1:14" x14ac:dyDescent="0.25">
      <c r="A59" s="15" t="str">
        <f t="shared" si="14"/>
        <v>P.M.M - Percurso Médio Mensal</v>
      </c>
      <c r="B59" s="25">
        <f t="shared" ref="B59:M59" si="24">B57/B62</f>
        <v>5358.4642170022371</v>
      </c>
      <c r="C59" s="26">
        <f t="shared" si="24"/>
        <v>5130.8736800894858</v>
      </c>
      <c r="D59" s="26">
        <f t="shared" si="24"/>
        <v>5402.8926398210288</v>
      </c>
      <c r="E59" s="26">
        <f t="shared" si="24"/>
        <v>5274.6903807390818</v>
      </c>
      <c r="F59" s="26">
        <f t="shared" si="24"/>
        <v>5550.1149218749997</v>
      </c>
      <c r="G59" s="26">
        <f t="shared" si="24"/>
        <v>5263.4683723522867</v>
      </c>
      <c r="H59" s="26">
        <f t="shared" si="24"/>
        <v>5695.567045707915</v>
      </c>
      <c r="I59" s="26">
        <f t="shared" si="24"/>
        <v>5549.0834734513273</v>
      </c>
      <c r="J59" s="26">
        <f t="shared" si="24"/>
        <v>5535.6831229235877</v>
      </c>
      <c r="K59" s="26">
        <f t="shared" si="24"/>
        <v>5765.6767552602441</v>
      </c>
      <c r="L59" s="26">
        <f t="shared" si="24"/>
        <v>5225.0497898230087</v>
      </c>
      <c r="M59" s="26">
        <f t="shared" si="24"/>
        <v>5518.0243805309738</v>
      </c>
      <c r="N59" s="17">
        <f>AVERAGE(B59:M59)</f>
        <v>5439.1323982980148</v>
      </c>
    </row>
    <row r="60" spans="1:14" x14ac:dyDescent="0.25">
      <c r="A60" s="15" t="str">
        <f t="shared" si="14"/>
        <v>Frota Total</v>
      </c>
      <c r="B60" s="27">
        <f t="shared" ref="B60:J60" si="25">B63+B65+B67+B69+B71</f>
        <v>981</v>
      </c>
      <c r="C60" s="27">
        <f t="shared" si="25"/>
        <v>981</v>
      </c>
      <c r="D60" s="27">
        <f t="shared" si="25"/>
        <v>980</v>
      </c>
      <c r="E60" s="27">
        <f t="shared" si="25"/>
        <v>981</v>
      </c>
      <c r="F60" s="27">
        <f t="shared" si="25"/>
        <v>983</v>
      </c>
      <c r="G60" s="27">
        <f t="shared" si="25"/>
        <v>984</v>
      </c>
      <c r="H60" s="27">
        <f t="shared" si="25"/>
        <v>983</v>
      </c>
      <c r="I60" s="27">
        <f t="shared" si="25"/>
        <v>993</v>
      </c>
      <c r="J60" s="27">
        <f t="shared" si="25"/>
        <v>991</v>
      </c>
      <c r="K60" s="27">
        <f>K63+K65+K67+K69+K71</f>
        <v>992</v>
      </c>
      <c r="L60" s="27">
        <f>L63+L65+L67+L69+L71</f>
        <v>993</v>
      </c>
      <c r="M60" s="27">
        <f>M63+M65+M67+M69+M71</f>
        <v>991</v>
      </c>
      <c r="N60" s="28">
        <f>AVERAGE(B60:M60)</f>
        <v>986.08333333333337</v>
      </c>
    </row>
    <row r="61" spans="1:14" x14ac:dyDescent="0.25">
      <c r="A61" s="12" t="str">
        <f t="shared" si="14"/>
        <v xml:space="preserve">Idade Média </v>
      </c>
      <c r="B61" s="13">
        <f>[24]GECON!$K$20</f>
        <v>7.2956777996070725</v>
      </c>
      <c r="C61" s="29">
        <f>[38]GECON!$K$20</f>
        <v>7.2886699507389165</v>
      </c>
      <c r="D61" s="29">
        <f>[37]GECON!$K$20</f>
        <v>7.2886699507389165</v>
      </c>
      <c r="E61" s="29">
        <f>[27]GECON!$K$20</f>
        <v>7.2886699507389165</v>
      </c>
      <c r="F61" s="29">
        <f>[28]GECON!$K$20</f>
        <v>7.1733203505355405</v>
      </c>
      <c r="G61" s="29">
        <f>[29]GECON!$K$20</f>
        <v>7.0838264299802765</v>
      </c>
      <c r="H61" s="29">
        <f>[30]GECON!$K$20</f>
        <v>6.8694798822374876</v>
      </c>
      <c r="I61" s="29">
        <f>[31]GECON!$K$20</f>
        <v>6.5874396135265698</v>
      </c>
      <c r="J61" s="29">
        <f>[32]GECON!$K$20</f>
        <v>6.1963601532567054</v>
      </c>
      <c r="K61" s="29">
        <f>[33]GECON!$K$20</f>
        <v>5.9862745098039216</v>
      </c>
      <c r="L61" s="29">
        <f>[34]GECON!$K$20</f>
        <v>5.9331366764995082</v>
      </c>
      <c r="M61" s="29">
        <f>[35]GECON!$K$20</f>
        <v>6.8161258603736483</v>
      </c>
      <c r="N61" s="14">
        <f>AVERAGE(B61:M61)</f>
        <v>6.8173042606697898</v>
      </c>
    </row>
    <row r="62" spans="1:14" x14ac:dyDescent="0.25">
      <c r="A62" s="30" t="str">
        <f t="shared" si="14"/>
        <v>Frota Operante</v>
      </c>
      <c r="B62" s="62">
        <f>[36]GECON!$C$20</f>
        <v>894</v>
      </c>
      <c r="C62" s="62">
        <f>[25]GECON!$C$20</f>
        <v>894</v>
      </c>
      <c r="D62" s="62">
        <f>[37]GECON!$C$20</f>
        <v>894</v>
      </c>
      <c r="E62" s="62">
        <f>[27]GECON!$C$20</f>
        <v>893</v>
      </c>
      <c r="F62" s="62">
        <f>[28]GECON!$C$20</f>
        <v>896</v>
      </c>
      <c r="G62" s="62">
        <f>[29]GECON!$C$20</f>
        <v>897</v>
      </c>
      <c r="H62" s="62">
        <f>[30]GECON!$C$20</f>
        <v>897</v>
      </c>
      <c r="I62" s="62">
        <f>[31]GECON!$C$20</f>
        <v>904</v>
      </c>
      <c r="J62" s="62">
        <f>[32]GECON!$C$20</f>
        <v>903</v>
      </c>
      <c r="K62" s="62">
        <f>[33]GECON!$C$20</f>
        <v>903</v>
      </c>
      <c r="L62" s="62">
        <f>[34]GECON!$C$20</f>
        <v>904</v>
      </c>
      <c r="M62" s="62">
        <f>[35]GECON!$C$20</f>
        <v>904</v>
      </c>
      <c r="N62" s="33">
        <f t="shared" ref="N62:N72" si="26">AVERAGE(B62:M62)</f>
        <v>898.58333333333337</v>
      </c>
    </row>
    <row r="63" spans="1:14" x14ac:dyDescent="0.25">
      <c r="A63" s="12" t="str">
        <f t="shared" si="14"/>
        <v xml:space="preserve">Convencional   </v>
      </c>
      <c r="B63" s="62">
        <f>[36]GECON!$F$14</f>
        <v>901</v>
      </c>
      <c r="C63" s="62">
        <f>[25]GECON!$F$14</f>
        <v>901</v>
      </c>
      <c r="D63" s="62">
        <f>[37]GECON!$F$14</f>
        <v>901</v>
      </c>
      <c r="E63" s="62">
        <f>[27]GECON!$F$14</f>
        <v>900</v>
      </c>
      <c r="F63" s="62">
        <f>[28]GECON!$F$14</f>
        <v>904</v>
      </c>
      <c r="G63" s="62">
        <f>[29]GECON!$F$14</f>
        <v>905</v>
      </c>
      <c r="H63" s="62">
        <f>[30]GECON!$F$14</f>
        <v>905</v>
      </c>
      <c r="I63" s="62">
        <f>[31]GECON!$F$14</f>
        <v>913</v>
      </c>
      <c r="J63" s="62">
        <f>[32]GECON!$F$14</f>
        <v>912</v>
      </c>
      <c r="K63" s="62">
        <f>[33]GECON!$F$14</f>
        <v>911</v>
      </c>
      <c r="L63" s="62">
        <f>[34]GECON!$F$14</f>
        <v>912</v>
      </c>
      <c r="M63" s="62">
        <f>[35]GECON!$F$14</f>
        <v>909</v>
      </c>
      <c r="N63" s="34">
        <f t="shared" si="26"/>
        <v>906.16666666666663</v>
      </c>
    </row>
    <row r="64" spans="1:14" x14ac:dyDescent="0.25">
      <c r="A64" s="12" t="str">
        <f t="shared" si="14"/>
        <v xml:space="preserve">Idade Média </v>
      </c>
      <c r="B64" s="63">
        <f>[24]GECON!$G$14</f>
        <v>7.0244173140954498</v>
      </c>
      <c r="C64" s="63">
        <f>[25]GECON!$G$14</f>
        <v>7.059933407325194</v>
      </c>
      <c r="D64" s="63">
        <f>[37]GECON!$G$14</f>
        <v>7.057713651498335</v>
      </c>
      <c r="E64" s="63">
        <f>[27]GECON!$G$14</f>
        <v>7.0677777777777777</v>
      </c>
      <c r="F64" s="63">
        <f>[28]GECON!$G$14</f>
        <v>7.1039823008849554</v>
      </c>
      <c r="G64" s="63">
        <f>[29]GECON!$G$14</f>
        <v>6.9867403314917125</v>
      </c>
      <c r="H64" s="63">
        <f>[30]GECON!$G$14</f>
        <v>6.6795580110497239</v>
      </c>
      <c r="I64" s="63">
        <f>[31]GECON!$G$14</f>
        <v>6.3033953997809418</v>
      </c>
      <c r="J64" s="63">
        <f>[32]GECON!$G$14</f>
        <v>5.7894736842105265</v>
      </c>
      <c r="K64" s="63">
        <f>[33]GECON!$G$14</f>
        <v>5.8243688254665207</v>
      </c>
      <c r="L64" s="63">
        <f>[34]GECON!$G$14</f>
        <v>5.7807017543859649</v>
      </c>
      <c r="M64" s="63">
        <f>[35]GECON!$G$14</f>
        <v>6.673267326732673</v>
      </c>
      <c r="N64" s="14">
        <f t="shared" si="26"/>
        <v>6.6126108153916467</v>
      </c>
    </row>
    <row r="65" spans="1:14" x14ac:dyDescent="0.25">
      <c r="A65" s="12" t="str">
        <f t="shared" si="14"/>
        <v>Articulado</v>
      </c>
      <c r="B65" s="62">
        <f>[36]GECON!$F$17</f>
        <v>38</v>
      </c>
      <c r="C65" s="62">
        <f>[25]GECON!$F$17</f>
        <v>38</v>
      </c>
      <c r="D65" s="62">
        <f>[37]GECON!$F$17</f>
        <v>37</v>
      </c>
      <c r="E65" s="62">
        <f>[27]GECON!$F$17</f>
        <v>38</v>
      </c>
      <c r="F65" s="62">
        <f>[28]GECON!$F$17</f>
        <v>37</v>
      </c>
      <c r="G65" s="62">
        <f>[29]GECON!$F$17</f>
        <v>36</v>
      </c>
      <c r="H65" s="62">
        <f>[30]GECON!$F$17</f>
        <v>35</v>
      </c>
      <c r="I65" s="62">
        <f>[31]GECON!$F$17</f>
        <v>37</v>
      </c>
      <c r="J65" s="62">
        <f>[32]GECON!$F$17</f>
        <v>36</v>
      </c>
      <c r="K65" s="62">
        <f>[33]GECON!$F$17</f>
        <v>38</v>
      </c>
      <c r="L65" s="62">
        <f>[34]GECON!$F$17</f>
        <v>38</v>
      </c>
      <c r="M65" s="62">
        <f>[35]GECON!$F$17</f>
        <v>38</v>
      </c>
      <c r="N65" s="35">
        <f t="shared" si="26"/>
        <v>37.166666666666664</v>
      </c>
    </row>
    <row r="66" spans="1:14" x14ac:dyDescent="0.25">
      <c r="A66" s="12" t="str">
        <f t="shared" si="14"/>
        <v xml:space="preserve">Idade Média </v>
      </c>
      <c r="B66" s="63">
        <f>[24]GECON!$G$17</f>
        <v>9.6842105263157894</v>
      </c>
      <c r="C66" s="63">
        <f>[38]GECON!$G$17</f>
        <v>9.6842105263157894</v>
      </c>
      <c r="D66" s="63">
        <f>[37]GECON!$G$17</f>
        <v>9.486486486486486</v>
      </c>
      <c r="E66" s="63">
        <f>[27]GECON!$G$17</f>
        <v>9.6842105263157894</v>
      </c>
      <c r="F66" s="63">
        <f>[28]GECON!$G$17</f>
        <v>9.6756756756756754</v>
      </c>
      <c r="G66" s="63">
        <f>[29]GECON!$G$17</f>
        <v>9.6666666666666661</v>
      </c>
      <c r="H66" s="63">
        <f>[30]GECON!$G$17</f>
        <v>9.4857142857142858</v>
      </c>
      <c r="I66" s="63">
        <f>[31]GECON!$G$17</f>
        <v>9.6756756756756754</v>
      </c>
      <c r="J66" s="63">
        <f>[32]GECON!$G$17</f>
        <v>9.4722222222222214</v>
      </c>
      <c r="K66" s="63">
        <f>[33]GECON!$G$17</f>
        <v>8.973684210526315</v>
      </c>
      <c r="L66" s="63">
        <f>[34]GECON!$G$17</f>
        <v>8.2894736842105257</v>
      </c>
      <c r="M66" s="63">
        <f>[35]GECON!$G$17</f>
        <v>9.026315789473685</v>
      </c>
      <c r="N66" s="14">
        <f t="shared" si="26"/>
        <v>9.4003788562999091</v>
      </c>
    </row>
    <row r="67" spans="1:14" x14ac:dyDescent="0.25">
      <c r="A67" s="12" t="str">
        <f t="shared" si="14"/>
        <v>Micro</v>
      </c>
      <c r="B67" s="62">
        <f>[36]GECON!$F$16</f>
        <v>25</v>
      </c>
      <c r="C67" s="62">
        <f>[25]GECON!$F$16</f>
        <v>25</v>
      </c>
      <c r="D67" s="62">
        <f>[37]GECON!$F$16</f>
        <v>25</v>
      </c>
      <c r="E67" s="62">
        <f>[27]GECON!$F$16</f>
        <v>25</v>
      </c>
      <c r="F67" s="62">
        <f>[28]GECON!$F$16</f>
        <v>25</v>
      </c>
      <c r="G67" s="62">
        <f>[29]GECON!$F$16</f>
        <v>25</v>
      </c>
      <c r="H67" s="62">
        <f>[30]GECON!$F$16</f>
        <v>25</v>
      </c>
      <c r="I67" s="62">
        <f>[31]GECON!$F$16</f>
        <v>25</v>
      </c>
      <c r="J67" s="62">
        <f>[32]GECON!$F$16</f>
        <v>25</v>
      </c>
      <c r="K67" s="62">
        <f>[33]GECON!$F$16</f>
        <v>25</v>
      </c>
      <c r="L67" s="62">
        <f>[34]GECON!$F$16</f>
        <v>25</v>
      </c>
      <c r="M67" s="62">
        <f>[35]GECON!$F$16</f>
        <v>25</v>
      </c>
      <c r="N67" s="35">
        <f t="shared" si="26"/>
        <v>25</v>
      </c>
    </row>
    <row r="68" spans="1:14" x14ac:dyDescent="0.25">
      <c r="A68" s="12" t="str">
        <f t="shared" si="14"/>
        <v xml:space="preserve">Idade Média </v>
      </c>
      <c r="B68" s="63">
        <f>[24]GECON!$G$16</f>
        <v>6.36</v>
      </c>
      <c r="C68" s="63">
        <f>[38]GECON!$G$16</f>
        <v>6.36</v>
      </c>
      <c r="D68" s="63">
        <f>[37]GECON!$G$16</f>
        <v>6.36</v>
      </c>
      <c r="E68" s="63">
        <f>[27]GECON!$G$16</f>
        <v>6.36</v>
      </c>
      <c r="F68" s="63">
        <f>[28]GECON!$G$16</f>
        <v>6.84</v>
      </c>
      <c r="G68" s="63">
        <f>[29]GECON!$G$16</f>
        <v>6.36</v>
      </c>
      <c r="H68" s="63">
        <f>[30]GECON!$G$16</f>
        <v>6.36</v>
      </c>
      <c r="I68" s="63">
        <f>[31]GECON!$G$16</f>
        <v>6.36</v>
      </c>
      <c r="J68" s="63">
        <f>[32]GECON!$G$16</f>
        <v>5.84</v>
      </c>
      <c r="K68" s="63">
        <f>[33]GECON!$G$16</f>
        <v>5.84</v>
      </c>
      <c r="L68" s="63">
        <f>[34]GECON!$G$16</f>
        <v>5.88</v>
      </c>
      <c r="M68" s="63">
        <f>[35]GECON!$G$16</f>
        <v>6.2</v>
      </c>
      <c r="N68" s="36">
        <f t="shared" si="26"/>
        <v>6.2600000000000007</v>
      </c>
    </row>
    <row r="69" spans="1:14" x14ac:dyDescent="0.25">
      <c r="A69" s="12" t="str">
        <f t="shared" si="14"/>
        <v>Padron Elétrico</v>
      </c>
      <c r="B69" s="62">
        <f>[36]GECON!$F$15</f>
        <v>1</v>
      </c>
      <c r="C69" s="62">
        <f>[25]GECON!$F$15</f>
        <v>1</v>
      </c>
      <c r="D69" s="62">
        <f>[37]GECON!$F$15</f>
        <v>1</v>
      </c>
      <c r="E69" s="62">
        <f>[27]GECON!$F$15</f>
        <v>2</v>
      </c>
      <c r="F69" s="62">
        <f>[28]GECON!$F$15</f>
        <v>2</v>
      </c>
      <c r="G69" s="62">
        <f>[29]GECON!$F$15</f>
        <v>2</v>
      </c>
      <c r="H69" s="62">
        <f>[30]GECON!$F$15</f>
        <v>2</v>
      </c>
      <c r="I69" s="62">
        <f>[31]GECON!$F$15</f>
        <v>2</v>
      </c>
      <c r="J69" s="62">
        <f>[32]GECON!$F$15</f>
        <v>2</v>
      </c>
      <c r="K69" s="62">
        <f>[33]GECON!$F$15</f>
        <v>2</v>
      </c>
      <c r="L69" s="62">
        <f>[34]GECON!$F$15</f>
        <v>2</v>
      </c>
      <c r="M69" s="62">
        <f>[35]GECON!$F$15</f>
        <v>3</v>
      </c>
      <c r="N69" s="35">
        <f t="shared" si="26"/>
        <v>1.8333333333333333</v>
      </c>
    </row>
    <row r="70" spans="1:14" x14ac:dyDescent="0.25">
      <c r="A70" s="12" t="str">
        <f t="shared" si="14"/>
        <v xml:space="preserve">Idade Média </v>
      </c>
      <c r="B70" s="63">
        <f>[24]GECON!$G$15</f>
        <v>2</v>
      </c>
      <c r="C70" s="63">
        <f>[38]GECON!$G$15</f>
        <v>2</v>
      </c>
      <c r="D70" s="63">
        <f>[37]GECON!$G$15</f>
        <v>2</v>
      </c>
      <c r="E70" s="63">
        <f>[27]GECON!$G$15</f>
        <v>2</v>
      </c>
      <c r="F70" s="63">
        <f>[28]GECON!$G$15</f>
        <v>2</v>
      </c>
      <c r="G70" s="63">
        <f>[29]GECON!$G$15</f>
        <v>2</v>
      </c>
      <c r="H70" s="63">
        <f>[30]GECON!$G$15</f>
        <v>2</v>
      </c>
      <c r="I70" s="63">
        <f>[31]GECON!$G$15</f>
        <v>2</v>
      </c>
      <c r="J70" s="63">
        <f>[32]GECON!$G$15</f>
        <v>2</v>
      </c>
      <c r="K70" s="63">
        <f>[33]GECON!$G$15</f>
        <v>2</v>
      </c>
      <c r="L70" s="63">
        <f>[34]GECON!$G$15</f>
        <v>2</v>
      </c>
      <c r="M70" s="63">
        <f>[35]GECON!$G$15</f>
        <v>3</v>
      </c>
      <c r="N70" s="36">
        <f t="shared" si="26"/>
        <v>2.0833333333333335</v>
      </c>
    </row>
    <row r="71" spans="1:14" x14ac:dyDescent="0.25">
      <c r="A71" s="12" t="str">
        <f t="shared" si="14"/>
        <v>Micro Transcol +Acessível</v>
      </c>
      <c r="B71" s="62">
        <f>[36]GECON!$F$18</f>
        <v>16</v>
      </c>
      <c r="C71" s="62">
        <f>[25]GECON!$F$18</f>
        <v>16</v>
      </c>
      <c r="D71" s="62">
        <f>[37]GECON!$F$18</f>
        <v>16</v>
      </c>
      <c r="E71" s="62">
        <f>[27]GECON!$F$18</f>
        <v>16</v>
      </c>
      <c r="F71" s="62">
        <f>[28]GECON!$F$19</f>
        <v>15</v>
      </c>
      <c r="G71" s="62">
        <f>[29]GECON!$F$19</f>
        <v>16</v>
      </c>
      <c r="H71" s="62">
        <f>[30]GECON!$F$19</f>
        <v>16</v>
      </c>
      <c r="I71" s="62">
        <f>[31]GECON!$F$19</f>
        <v>16</v>
      </c>
      <c r="J71" s="62">
        <f>[32]GECON!$F$19</f>
        <v>16</v>
      </c>
      <c r="K71" s="62">
        <f>[33]GECON!$F$19</f>
        <v>16</v>
      </c>
      <c r="L71" s="62">
        <f>[34]GECON!$F$19</f>
        <v>16</v>
      </c>
      <c r="M71" s="62">
        <f>[35]GECON!$F$19</f>
        <v>16</v>
      </c>
      <c r="N71" s="35">
        <f t="shared" si="26"/>
        <v>15.916666666666666</v>
      </c>
    </row>
    <row r="72" spans="1:14" x14ac:dyDescent="0.25">
      <c r="A72" s="12" t="str">
        <f t="shared" si="14"/>
        <v xml:space="preserve">Idade Média </v>
      </c>
      <c r="B72" s="63">
        <f>[24]GECON!$G$18</f>
        <v>4.5</v>
      </c>
      <c r="C72" s="63">
        <f>[38]GECON!$G$18</f>
        <v>4.5</v>
      </c>
      <c r="D72" s="63">
        <f>[37]GECON!$G$18</f>
        <v>4.5</v>
      </c>
      <c r="E72" s="63">
        <f>[27]GECON!$G$18</f>
        <v>4.5</v>
      </c>
      <c r="F72" s="63">
        <f>[28]GECON!$G$19</f>
        <v>0</v>
      </c>
      <c r="G72" s="63">
        <f>[29]GECON!$G$19</f>
        <v>0</v>
      </c>
      <c r="H72" s="63">
        <f>[30]GECON!$G$28</f>
        <v>0</v>
      </c>
      <c r="I72" s="63">
        <f>[31]GECON!$G$19</f>
        <v>0</v>
      </c>
      <c r="J72" s="63">
        <f>[32]GECON!$G$19</f>
        <v>0</v>
      </c>
      <c r="K72" s="63">
        <f>[33]GECON!$G$19</f>
        <v>0</v>
      </c>
      <c r="L72" s="63">
        <f>[34]GECON!$G$19</f>
        <v>0</v>
      </c>
      <c r="M72" s="63">
        <f>[35]GECON!$G$19</f>
        <v>1</v>
      </c>
      <c r="N72" s="36">
        <f t="shared" si="26"/>
        <v>1.5833333333333333</v>
      </c>
    </row>
    <row r="73" spans="1:14" x14ac:dyDescent="0.25">
      <c r="A73" s="15" t="str">
        <f t="shared" si="14"/>
        <v>Demanda Total</v>
      </c>
      <c r="B73" s="37">
        <f t="shared" ref="B73:M73" si="27">SUM(B74:B83)</f>
        <v>6856885</v>
      </c>
      <c r="C73" s="38">
        <f t="shared" si="27"/>
        <v>7218611</v>
      </c>
      <c r="D73" s="38">
        <f t="shared" si="27"/>
        <v>7217640</v>
      </c>
      <c r="E73" s="38">
        <f t="shared" si="27"/>
        <v>7143555</v>
      </c>
      <c r="F73" s="38">
        <f t="shared" si="27"/>
        <v>7640939</v>
      </c>
      <c r="G73" s="38">
        <f t="shared" si="27"/>
        <v>7135453</v>
      </c>
      <c r="H73" s="38">
        <f t="shared" si="27"/>
        <v>7574214</v>
      </c>
      <c r="I73" s="38">
        <f t="shared" si="27"/>
        <v>7598332</v>
      </c>
      <c r="J73" s="38">
        <f t="shared" si="27"/>
        <v>7469331</v>
      </c>
      <c r="K73" s="38">
        <f t="shared" si="27"/>
        <v>7935008</v>
      </c>
      <c r="L73" s="38">
        <f t="shared" si="27"/>
        <v>7082037</v>
      </c>
      <c r="M73" s="38">
        <f t="shared" si="27"/>
        <v>6831602</v>
      </c>
      <c r="N73" s="39">
        <f t="shared" ref="N73:N82" si="28">SUM(B73:M73)</f>
        <v>87703607</v>
      </c>
    </row>
    <row r="74" spans="1:14" x14ac:dyDescent="0.25">
      <c r="A74" s="12" t="str">
        <f t="shared" si="14"/>
        <v>Vale Transporte</v>
      </c>
      <c r="B74" s="40">
        <f>1290768+2078081</f>
        <v>3368849</v>
      </c>
      <c r="C74" s="41">
        <f>'[1]2025'!$C$70</f>
        <v>3335225</v>
      </c>
      <c r="D74" s="41">
        <f>'[1]2025'!$D$70</f>
        <v>3326869</v>
      </c>
      <c r="E74" s="41">
        <f>'[1]2025'!$E$70</f>
        <v>3256624</v>
      </c>
      <c r="F74" s="41">
        <f>'[1]2025'!$F$70</f>
        <v>3503014</v>
      </c>
      <c r="G74" s="41">
        <f>'[1]2025'!$G$70</f>
        <v>3272678</v>
      </c>
      <c r="H74" s="41">
        <f>'[1]2025'!$H$70</f>
        <v>3622184</v>
      </c>
      <c r="I74" s="41">
        <f>'[1]2025'!$I$70</f>
        <v>3501467</v>
      </c>
      <c r="J74" s="41">
        <f>'[1]2025'!$J$70</f>
        <v>3477948</v>
      </c>
      <c r="K74" s="41">
        <f>'[1]2025'!$K$70</f>
        <v>3662664</v>
      </c>
      <c r="L74" s="41">
        <f>'[1]2025'!$L$70</f>
        <v>3220959</v>
      </c>
      <c r="M74" s="41">
        <f>'[1]2025'!$M$70</f>
        <v>3217902</v>
      </c>
      <c r="N74" s="35">
        <f t="shared" si="28"/>
        <v>40766383</v>
      </c>
    </row>
    <row r="75" spans="1:14" x14ac:dyDescent="0.25">
      <c r="A75" s="42" t="str">
        <f t="shared" si="14"/>
        <v>Cartão Cidadão</v>
      </c>
      <c r="B75" s="43">
        <f>2027751+586414</f>
        <v>2614165</v>
      </c>
      <c r="C75" s="44">
        <f>'[1]2025'!$C$77</f>
        <v>2750443</v>
      </c>
      <c r="D75" s="44">
        <f>'[1]2025'!$D$77</f>
        <v>2594787</v>
      </c>
      <c r="E75" s="44">
        <f>'[1]2025'!$E$77</f>
        <v>2549368</v>
      </c>
      <c r="F75" s="44">
        <f>'[1]2025'!$F$77</f>
        <v>2658968</v>
      </c>
      <c r="G75" s="44">
        <f>'[1]2025'!$G$77</f>
        <v>2444121</v>
      </c>
      <c r="H75" s="44">
        <f>'[1]2025'!$H$77</f>
        <v>2649983</v>
      </c>
      <c r="I75" s="44">
        <f>'[1]2025'!$I$77</f>
        <v>2588604</v>
      </c>
      <c r="J75" s="44">
        <f>'[1]2025'!$J$77</f>
        <v>2534777</v>
      </c>
      <c r="K75" s="44">
        <f>'[1]2025'!$K$77</f>
        <v>2664288</v>
      </c>
      <c r="L75" s="44">
        <f>'[1]2025'!$L$77</f>
        <v>2431335</v>
      </c>
      <c r="M75" s="44">
        <f>'[1]2025'!$M$77</f>
        <v>2465428</v>
      </c>
      <c r="N75" s="45">
        <f>SUM(B75:M75)</f>
        <v>30946267</v>
      </c>
    </row>
    <row r="76" spans="1:14" x14ac:dyDescent="0.25">
      <c r="A76" s="42" t="str">
        <f t="shared" si="14"/>
        <v>Idoso Gratuito</v>
      </c>
      <c r="B76" s="40">
        <v>614246</v>
      </c>
      <c r="C76" s="41">
        <f>'[1]2025'!$C$78</f>
        <v>619940</v>
      </c>
      <c r="D76" s="41">
        <f>'[1]2025'!$D$78</f>
        <v>635970</v>
      </c>
      <c r="E76" s="41">
        <f>'[1]2025'!$E$78</f>
        <v>629796</v>
      </c>
      <c r="F76" s="41">
        <f>'[1]2025'!$F$78</f>
        <v>661796</v>
      </c>
      <c r="G76" s="41">
        <f>'[1]2025'!$G$78</f>
        <v>640341</v>
      </c>
      <c r="H76" s="41">
        <f>'[1]2025'!$H$78</f>
        <v>693870</v>
      </c>
      <c r="I76" s="41">
        <f>'[1]2025'!$I$78</f>
        <v>685632</v>
      </c>
      <c r="J76" s="41">
        <f>'[1]2025'!$J$78</f>
        <v>677087</v>
      </c>
      <c r="K76" s="41">
        <f>'[1]2025'!$K$78</f>
        <v>722918</v>
      </c>
      <c r="L76" s="41">
        <f>'[1]2025'!$L$78</f>
        <v>674876</v>
      </c>
      <c r="M76" s="41">
        <f>'[1]2025'!$M$78</f>
        <v>683667</v>
      </c>
      <c r="N76" s="45">
        <f>SUM(B76:M76)</f>
        <v>7940139</v>
      </c>
    </row>
    <row r="77" spans="1:14" x14ac:dyDescent="0.25">
      <c r="A77" s="12" t="str">
        <f t="shared" si="14"/>
        <v>Passe Escolar (50%)</v>
      </c>
      <c r="B77" s="40">
        <f>38098+55662</f>
        <v>93760</v>
      </c>
      <c r="C77" s="41">
        <f>'[1]2025'!$C$73</f>
        <v>204516</v>
      </c>
      <c r="D77" s="41">
        <f>'[1]2025'!$D$73</f>
        <v>262036</v>
      </c>
      <c r="E77" s="41">
        <f>'[1]2025'!$E$73</f>
        <v>276465</v>
      </c>
      <c r="F77" s="41">
        <f>'[1]2025'!$F$73</f>
        <v>365302</v>
      </c>
      <c r="G77" s="41">
        <f>'[1]2025'!$G$73</f>
        <v>341015</v>
      </c>
      <c r="H77" s="41">
        <f>'[1]2025'!$H$73</f>
        <v>254077</v>
      </c>
      <c r="I77" s="41">
        <f>'[1]2025'!$I$73</f>
        <v>347448</v>
      </c>
      <c r="J77" s="41">
        <f>'[1]2025'!$J$73</f>
        <v>323309</v>
      </c>
      <c r="K77" s="41">
        <f>'[1]2025'!$K$73</f>
        <v>390234</v>
      </c>
      <c r="L77" s="41">
        <f>'[1]2025'!$L$73</f>
        <v>337457</v>
      </c>
      <c r="M77" s="41">
        <f>'[1]2025'!$M$73</f>
        <v>206314</v>
      </c>
      <c r="N77" s="35">
        <f t="shared" si="28"/>
        <v>3401933</v>
      </c>
    </row>
    <row r="78" spans="1:14" x14ac:dyDescent="0.25">
      <c r="A78" s="42" t="str">
        <f t="shared" si="14"/>
        <v>Escolar Gratuito (100%)</v>
      </c>
      <c r="B78" s="40">
        <v>1725</v>
      </c>
      <c r="C78" s="41">
        <f>'[1]2025'!$C$74</f>
        <v>128560</v>
      </c>
      <c r="D78" s="41">
        <f>'[1]2025'!$D$74</f>
        <v>218529</v>
      </c>
      <c r="E78" s="41">
        <f>'[1]2025'!$E$74</f>
        <v>251371</v>
      </c>
      <c r="F78" s="41">
        <f>'[1]2025'!$F$74</f>
        <v>264553</v>
      </c>
      <c r="G78" s="41">
        <f>'[1]2025'!$G$74</f>
        <v>259877</v>
      </c>
      <c r="H78" s="41">
        <f>'[1]2025'!$H$74</f>
        <v>166212</v>
      </c>
      <c r="I78" s="41">
        <f>'[1]2025'!$I$74</f>
        <v>284003</v>
      </c>
      <c r="J78" s="41">
        <f>'[1]2025'!$J$74</f>
        <v>267841</v>
      </c>
      <c r="K78" s="41">
        <f>'[1]2025'!$K$74</f>
        <v>296769</v>
      </c>
      <c r="L78" s="41">
        <f>'[1]2025'!$L$74</f>
        <v>235874</v>
      </c>
      <c r="M78" s="41">
        <f>'[1]2025'!$M$74</f>
        <v>80089</v>
      </c>
      <c r="N78" s="35">
        <f t="shared" si="28"/>
        <v>2455403</v>
      </c>
    </row>
    <row r="79" spans="1:14" x14ac:dyDescent="0.25">
      <c r="A79" s="42" t="str">
        <f t="shared" si="14"/>
        <v>Deficiente Gratuito (100%)</v>
      </c>
      <c r="B79" s="43">
        <v>119586</v>
      </c>
      <c r="C79" s="44">
        <f>'[1]2025'!$C$75</f>
        <v>132599</v>
      </c>
      <c r="D79" s="44">
        <f>'[1]2025'!$D$75</f>
        <v>133150</v>
      </c>
      <c r="E79" s="44">
        <f>'[1]2025'!$E$75</f>
        <v>133398</v>
      </c>
      <c r="F79" s="44">
        <f>'[1]2025'!$F$75</f>
        <v>138287</v>
      </c>
      <c r="G79" s="44">
        <f>'[1]2025'!$G$75</f>
        <v>131082</v>
      </c>
      <c r="H79" s="44">
        <f>'[1]2025'!$H$75</f>
        <v>136788</v>
      </c>
      <c r="I79" s="44">
        <f>'[1]2025'!$I$75</f>
        <v>140061</v>
      </c>
      <c r="J79" s="44">
        <f>'[1]2025'!$J$75</f>
        <v>136401</v>
      </c>
      <c r="K79" s="44">
        <f>'[1]2025'!$K$75</f>
        <v>143002</v>
      </c>
      <c r="L79" s="44">
        <f>'[1]2025'!$L$75</f>
        <v>132419</v>
      </c>
      <c r="M79" s="44">
        <f>'[1]2025'!$M$75</f>
        <v>127055</v>
      </c>
      <c r="N79" s="45">
        <f t="shared" si="28"/>
        <v>1603828</v>
      </c>
    </row>
    <row r="80" spans="1:14" x14ac:dyDescent="0.25">
      <c r="A80" s="12" t="str">
        <f t="shared" si="14"/>
        <v>Integrado</v>
      </c>
      <c r="B80" s="64">
        <v>42727</v>
      </c>
      <c r="C80" s="65">
        <f>'[1]2025'!$C$80</f>
        <v>45627</v>
      </c>
      <c r="D80" s="65">
        <f>'[1]2025'!$D$80</f>
        <v>44581</v>
      </c>
      <c r="E80" s="65">
        <f>'[1]2025'!$E$80</f>
        <v>44802</v>
      </c>
      <c r="F80" s="65">
        <f>'[1]2025'!$F$80</f>
        <v>47324</v>
      </c>
      <c r="G80" s="65">
        <f>'[1]2025'!$G$80</f>
        <v>44494</v>
      </c>
      <c r="H80" s="65">
        <f>'[1]2025'!$H$80</f>
        <v>49081</v>
      </c>
      <c r="I80" s="65">
        <f>'[1]2025'!$I$80</f>
        <v>49210</v>
      </c>
      <c r="J80" s="65">
        <f>'[1]2025'!$J$80</f>
        <v>49906</v>
      </c>
      <c r="K80" s="65">
        <f>'[1]2025'!$K$80</f>
        <v>53141</v>
      </c>
      <c r="L80" s="65">
        <f>'[1]2025'!$L$80</f>
        <v>47449</v>
      </c>
      <c r="M80" s="65">
        <f>'[1]2025'!$M$80</f>
        <v>49226</v>
      </c>
      <c r="N80" s="35">
        <f>SUM(B80:M80)</f>
        <v>567568</v>
      </c>
    </row>
    <row r="81" spans="1:14" x14ac:dyDescent="0.25">
      <c r="A81" s="46" t="str">
        <f t="shared" si="14"/>
        <v>Passe Livre (Gratuito)</v>
      </c>
      <c r="B81" s="47">
        <v>1807</v>
      </c>
      <c r="C81" s="48">
        <f>'[1]2025'!$C$79</f>
        <v>1577</v>
      </c>
      <c r="D81" s="48">
        <f>'[1]2025'!$D$79</f>
        <v>1520</v>
      </c>
      <c r="E81" s="48">
        <f>'[1]2025'!$E$79</f>
        <v>1445</v>
      </c>
      <c r="F81" s="48">
        <f>'[1]2025'!$F$79</f>
        <v>1401</v>
      </c>
      <c r="G81" s="48">
        <f>'[1]2025'!$G$79</f>
        <v>1540</v>
      </c>
      <c r="H81" s="48">
        <f>'[1]2025'!$H$79</f>
        <v>1722</v>
      </c>
      <c r="I81" s="48">
        <f>'[1]2025'!$I$79</f>
        <v>1680</v>
      </c>
      <c r="J81" s="48">
        <f>'[1]2025'!$J$79</f>
        <v>1745</v>
      </c>
      <c r="K81" s="48">
        <f>'[1]2025'!$K$79</f>
        <v>1772</v>
      </c>
      <c r="L81" s="48">
        <f>'[1]2025'!$L$79</f>
        <v>1415</v>
      </c>
      <c r="M81" s="48">
        <f>'[1]2025'!$M$79</f>
        <v>1728</v>
      </c>
      <c r="N81" s="49">
        <f>SUM(B81:M81)</f>
        <v>19352</v>
      </c>
    </row>
    <row r="82" spans="1:14" ht="15.75" thickBot="1" x14ac:dyDescent="0.3">
      <c r="A82" s="50" t="str">
        <f t="shared" si="14"/>
        <v xml:space="preserve">Vale Especial </v>
      </c>
      <c r="B82" s="51">
        <f>9+11</f>
        <v>20</v>
      </c>
      <c r="C82" s="52">
        <f>'[1]2025'!$C$76</f>
        <v>124</v>
      </c>
      <c r="D82" s="52">
        <f>'[1]2025'!$D$76</f>
        <v>198</v>
      </c>
      <c r="E82" s="52">
        <f>'[1]2025'!$E$76</f>
        <v>286</v>
      </c>
      <c r="F82" s="52">
        <f>'[1]2025'!$F$76</f>
        <v>294</v>
      </c>
      <c r="G82" s="52">
        <f>'[1]2025'!$G$76</f>
        <v>305</v>
      </c>
      <c r="H82" s="52">
        <f>'[1]2025'!$H$76</f>
        <v>297</v>
      </c>
      <c r="I82" s="52">
        <f>'[1]2025'!$I$76</f>
        <v>227</v>
      </c>
      <c r="J82" s="52">
        <f>'[1]2025'!$J$76</f>
        <v>317</v>
      </c>
      <c r="K82" s="52">
        <f>'[1]2025'!$K$76</f>
        <v>220</v>
      </c>
      <c r="L82" s="52">
        <f>'[1]2025'!$L$76</f>
        <v>253</v>
      </c>
      <c r="M82" s="52">
        <f>'[1]2025'!$M$76</f>
        <v>193</v>
      </c>
      <c r="N82" s="53">
        <f t="shared" si="28"/>
        <v>2734</v>
      </c>
    </row>
    <row r="83" spans="1:14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</row>
    <row r="84" spans="1:14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</row>
    <row r="85" spans="1:14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54"/>
    </row>
    <row r="86" spans="1:14" ht="24.75" thickBot="1" x14ac:dyDescent="0.3">
      <c r="A86" s="2" t="s">
        <v>49</v>
      </c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3" t="str">
        <f>N2</f>
        <v>Ano:2025</v>
      </c>
    </row>
    <row r="87" spans="1:14" ht="16.5" thickBot="1" x14ac:dyDescent="0.3">
      <c r="A87" s="4" t="s">
        <v>2</v>
      </c>
      <c r="B87" s="5" t="s">
        <v>3</v>
      </c>
      <c r="C87" s="6" t="s">
        <v>4</v>
      </c>
      <c r="D87" s="6" t="s">
        <v>5</v>
      </c>
      <c r="E87" s="6" t="s">
        <v>6</v>
      </c>
      <c r="F87" s="6" t="s">
        <v>7</v>
      </c>
      <c r="G87" s="6" t="s">
        <v>8</v>
      </c>
      <c r="H87" s="6" t="s">
        <v>9</v>
      </c>
      <c r="I87" s="6" t="s">
        <v>10</v>
      </c>
      <c r="J87" s="6" t="s">
        <v>11</v>
      </c>
      <c r="K87" s="6" t="s">
        <v>12</v>
      </c>
      <c r="L87" s="6" t="s">
        <v>13</v>
      </c>
      <c r="M87" s="66" t="s">
        <v>14</v>
      </c>
      <c r="N87" s="7" t="s">
        <v>15</v>
      </c>
    </row>
    <row r="88" spans="1:14" x14ac:dyDescent="0.25">
      <c r="A88" s="58" t="str">
        <f t="shared" ref="A88:A124" si="29">A4</f>
        <v>Custo Por KM  (R$/km)</v>
      </c>
      <c r="B88" s="59">
        <f t="shared" ref="B88:N88" si="30">B89/B99</f>
        <v>9.5935077063650773</v>
      </c>
      <c r="C88" s="60">
        <f t="shared" si="30"/>
        <v>9.7181644897954254</v>
      </c>
      <c r="D88" s="60">
        <f t="shared" si="30"/>
        <v>9.717972536883682</v>
      </c>
      <c r="E88" s="60">
        <f t="shared" si="30"/>
        <v>9.7180343255462045</v>
      </c>
      <c r="F88" s="60">
        <f t="shared" si="30"/>
        <v>9.7185900275908441</v>
      </c>
      <c r="G88" s="60">
        <f t="shared" si="30"/>
        <v>9.7172352918142018</v>
      </c>
      <c r="H88" s="60">
        <f t="shared" si="30"/>
        <v>9.7177131797091594</v>
      </c>
      <c r="I88" s="60">
        <f t="shared" si="30"/>
        <v>9.7171403821607036</v>
      </c>
      <c r="J88" s="60">
        <f t="shared" si="30"/>
        <v>9.7177592229961594</v>
      </c>
      <c r="K88" s="60">
        <f t="shared" si="30"/>
        <v>9.7178961714725443</v>
      </c>
      <c r="L88" s="60">
        <f t="shared" si="30"/>
        <v>9.7177474691320835</v>
      </c>
      <c r="M88" s="67">
        <f t="shared" si="30"/>
        <v>9.71885749349652</v>
      </c>
      <c r="N88" s="61">
        <f t="shared" si="30"/>
        <v>9.7078392260553663</v>
      </c>
    </row>
    <row r="89" spans="1:14" x14ac:dyDescent="0.25">
      <c r="A89" s="12" t="str">
        <f t="shared" si="29"/>
        <v>(1) Custo Total   (R$)</v>
      </c>
      <c r="B89" s="13">
        <f t="shared" ref="B89:M96" si="31">B5+B47</f>
        <v>83996561.210000008</v>
      </c>
      <c r="C89" s="29">
        <f t="shared" si="31"/>
        <v>82071762.379999995</v>
      </c>
      <c r="D89" s="29">
        <f t="shared" si="31"/>
        <v>86492965.039999992</v>
      </c>
      <c r="E89" s="29">
        <f t="shared" si="31"/>
        <v>84324147</v>
      </c>
      <c r="F89" s="29">
        <f t="shared" si="31"/>
        <v>89184126</v>
      </c>
      <c r="G89" s="29">
        <f t="shared" si="31"/>
        <v>84808048.670000002</v>
      </c>
      <c r="H89" s="29">
        <f t="shared" si="31"/>
        <v>91584666.769999996</v>
      </c>
      <c r="I89" s="29">
        <f t="shared" si="31"/>
        <v>90144079.450000003</v>
      </c>
      <c r="J89" s="29">
        <f t="shared" si="31"/>
        <v>89591724.159999996</v>
      </c>
      <c r="K89" s="29">
        <f t="shared" si="31"/>
        <v>93259933.599999994</v>
      </c>
      <c r="L89" s="29">
        <f t="shared" si="31"/>
        <v>84662095.689999998</v>
      </c>
      <c r="M89" s="68">
        <f t="shared" si="31"/>
        <v>88991327.719999999</v>
      </c>
      <c r="N89" s="14">
        <f t="shared" ref="N89:N96" si="32">SUM(B89:M89)</f>
        <v>1049111437.6900001</v>
      </c>
    </row>
    <row r="90" spans="1:14" x14ac:dyDescent="0.25">
      <c r="A90" s="12" t="str">
        <f t="shared" si="29"/>
        <v>Receita Arrecadada Efetiva (R$)</v>
      </c>
      <c r="B90" s="13">
        <f t="shared" si="31"/>
        <v>55506754.640000001</v>
      </c>
      <c r="C90" s="29">
        <f t="shared" si="31"/>
        <v>58577168.149999999</v>
      </c>
      <c r="D90" s="29">
        <f t="shared" si="31"/>
        <v>57662177.719999999</v>
      </c>
      <c r="E90" s="29">
        <f t="shared" si="31"/>
        <v>56742462</v>
      </c>
      <c r="F90" s="29">
        <f t="shared" si="31"/>
        <v>60164930.340000004</v>
      </c>
      <c r="G90" s="29">
        <f t="shared" si="31"/>
        <v>56024307.129999995</v>
      </c>
      <c r="H90" s="29">
        <f t="shared" si="31"/>
        <v>60714391.5</v>
      </c>
      <c r="I90" s="29">
        <f t="shared" si="31"/>
        <v>59537870.609999999</v>
      </c>
      <c r="J90" s="29">
        <f t="shared" si="31"/>
        <v>58971587.5</v>
      </c>
      <c r="K90" s="29">
        <f t="shared" si="31"/>
        <v>62062393.510000005</v>
      </c>
      <c r="L90" s="29">
        <f t="shared" si="31"/>
        <v>55270128.32</v>
      </c>
      <c r="M90" s="68">
        <f t="shared" si="31"/>
        <v>54570972.939999998</v>
      </c>
      <c r="N90" s="14">
        <f t="shared" si="32"/>
        <v>695805144.36000013</v>
      </c>
    </row>
    <row r="91" spans="1:14" x14ac:dyDescent="0.25">
      <c r="A91" s="12" t="str">
        <f t="shared" si="29"/>
        <v>Gerenciamento CETURB (5% da receita) (R$)</v>
      </c>
      <c r="B91" s="13">
        <f t="shared" si="31"/>
        <v>2775337.7319999998</v>
      </c>
      <c r="C91" s="29">
        <f t="shared" si="31"/>
        <v>2928858.4074999997</v>
      </c>
      <c r="D91" s="29">
        <f t="shared" si="31"/>
        <v>2883108.8859999999</v>
      </c>
      <c r="E91" s="29">
        <f t="shared" si="31"/>
        <v>2837123.1000000006</v>
      </c>
      <c r="F91" s="29">
        <f t="shared" si="31"/>
        <v>3008246.517</v>
      </c>
      <c r="G91" s="29">
        <f t="shared" si="31"/>
        <v>2801215.3564999998</v>
      </c>
      <c r="H91" s="29">
        <f t="shared" si="31"/>
        <v>3035719.5750000002</v>
      </c>
      <c r="I91" s="29">
        <f t="shared" si="31"/>
        <v>2976893.5305000003</v>
      </c>
      <c r="J91" s="29">
        <f t="shared" si="31"/>
        <v>2948579.375</v>
      </c>
      <c r="K91" s="29">
        <f t="shared" si="31"/>
        <v>3103119.6755000004</v>
      </c>
      <c r="L91" s="29">
        <f t="shared" si="31"/>
        <v>2763506.4160000002</v>
      </c>
      <c r="M91" s="68">
        <f t="shared" si="31"/>
        <v>2728548.6469999999</v>
      </c>
      <c r="N91" s="14">
        <f t="shared" si="32"/>
        <v>34790257.21800001</v>
      </c>
    </row>
    <row r="92" spans="1:14" x14ac:dyDescent="0.25">
      <c r="A92" s="12" t="str">
        <f t="shared" si="29"/>
        <v>(2) Receita Efetiva Líquida(R$)</v>
      </c>
      <c r="B92" s="13">
        <f t="shared" si="31"/>
        <v>52731416.907999992</v>
      </c>
      <c r="C92" s="29">
        <f t="shared" si="31"/>
        <v>55648309.7425</v>
      </c>
      <c r="D92" s="29">
        <f t="shared" si="31"/>
        <v>54779068.833999999</v>
      </c>
      <c r="E92" s="29">
        <f t="shared" si="31"/>
        <v>53905338.899999999</v>
      </c>
      <c r="F92" s="29">
        <f t="shared" si="31"/>
        <v>57156683.822999999</v>
      </c>
      <c r="G92" s="29">
        <f t="shared" si="31"/>
        <v>53223091.773499995</v>
      </c>
      <c r="H92" s="29">
        <f t="shared" si="31"/>
        <v>57678671.924999997</v>
      </c>
      <c r="I92" s="29">
        <f t="shared" si="31"/>
        <v>56560977.079500005</v>
      </c>
      <c r="J92" s="29">
        <f t="shared" si="31"/>
        <v>56023008.125</v>
      </c>
      <c r="K92" s="29">
        <f t="shared" si="31"/>
        <v>58959273.8345</v>
      </c>
      <c r="L92" s="29">
        <f t="shared" si="31"/>
        <v>52506621.903999999</v>
      </c>
      <c r="M92" s="68">
        <f t="shared" si="31"/>
        <v>51842424.292999998</v>
      </c>
      <c r="N92" s="14">
        <f t="shared" si="32"/>
        <v>661014887.14199996</v>
      </c>
    </row>
    <row r="93" spans="1:14" x14ac:dyDescent="0.25">
      <c r="A93" s="12" t="str">
        <f t="shared" si="29"/>
        <v>(3) % Evasão da receita (2,64%) (R$)</v>
      </c>
      <c r="B93" s="13">
        <f t="shared" si="31"/>
        <v>1392109.4063712</v>
      </c>
      <c r="C93" s="29">
        <f t="shared" si="31"/>
        <v>1469115.377202</v>
      </c>
      <c r="D93" s="29">
        <f t="shared" si="31"/>
        <v>1446167.4172175999</v>
      </c>
      <c r="E93" s="29">
        <f t="shared" si="31"/>
        <v>1423100.9469599999</v>
      </c>
      <c r="F93" s="29">
        <f t="shared" si="31"/>
        <v>1508936.4529272001</v>
      </c>
      <c r="G93" s="29">
        <f t="shared" si="31"/>
        <v>1405089.6228204002</v>
      </c>
      <c r="H93" s="29">
        <f t="shared" si="31"/>
        <v>1522716.9388199998</v>
      </c>
      <c r="I93" s="29">
        <f t="shared" si="31"/>
        <v>1493209.7948988001</v>
      </c>
      <c r="J93" s="29">
        <f t="shared" si="31"/>
        <v>1479007.4145</v>
      </c>
      <c r="K93" s="29">
        <f t="shared" si="31"/>
        <v>1556524.8292308</v>
      </c>
      <c r="L93" s="29">
        <f t="shared" si="31"/>
        <v>1386174.8182656001</v>
      </c>
      <c r="M93" s="68">
        <f t="shared" si="31"/>
        <v>1368640.0013351999</v>
      </c>
      <c r="N93" s="14">
        <f t="shared" si="32"/>
        <v>17450793.020548802</v>
      </c>
    </row>
    <row r="94" spans="1:14" x14ac:dyDescent="0.25">
      <c r="A94" s="12" t="str">
        <f t="shared" si="29"/>
        <v>(4) Receitas Acessórias (R$)</v>
      </c>
      <c r="B94" s="13">
        <f t="shared" si="31"/>
        <v>431158.04</v>
      </c>
      <c r="C94" s="29">
        <f t="shared" si="31"/>
        <v>428609.32199687499</v>
      </c>
      <c r="D94" s="29">
        <f t="shared" si="31"/>
        <v>427512.50013333332</v>
      </c>
      <c r="E94" s="29">
        <f t="shared" si="31"/>
        <v>426065.63257604162</v>
      </c>
      <c r="F94" s="29">
        <f t="shared" si="31"/>
        <v>423856.55389062501</v>
      </c>
      <c r="G94" s="29">
        <f t="shared" si="31"/>
        <v>423087.48592083331</v>
      </c>
      <c r="H94" s="29">
        <f t="shared" si="31"/>
        <v>421720.20000000007</v>
      </c>
      <c r="I94" s="29">
        <f t="shared" si="31"/>
        <v>421103.93796666659</v>
      </c>
      <c r="J94" s="29">
        <f t="shared" si="31"/>
        <v>420241.04902395839</v>
      </c>
      <c r="K94" s="29">
        <f t="shared" si="31"/>
        <v>421788.18699895829</v>
      </c>
      <c r="L94" s="29">
        <f t="shared" si="31"/>
        <v>423738.85055208334</v>
      </c>
      <c r="M94" s="68">
        <f t="shared" si="31"/>
        <v>425428.82776458334</v>
      </c>
      <c r="N94" s="14">
        <f t="shared" si="32"/>
        <v>5094310.5868239589</v>
      </c>
    </row>
    <row r="95" spans="1:14" x14ac:dyDescent="0.25">
      <c r="A95" s="12" t="str">
        <f t="shared" si="29"/>
        <v>Subsídio Tarifário = (1)-(2)-(3)-(4) (R$)</v>
      </c>
      <c r="B95" s="13">
        <f t="shared" si="31"/>
        <v>29441876.855628803</v>
      </c>
      <c r="C95" s="29">
        <f t="shared" si="31"/>
        <v>24525727.938301131</v>
      </c>
      <c r="D95" s="29">
        <f t="shared" si="31"/>
        <v>29840216.288649067</v>
      </c>
      <c r="E95" s="29">
        <f t="shared" si="31"/>
        <v>28569641.520463962</v>
      </c>
      <c r="F95" s="29">
        <f t="shared" si="31"/>
        <v>30094649.170182172</v>
      </c>
      <c r="G95" s="29">
        <f t="shared" si="31"/>
        <v>29756779.787758768</v>
      </c>
      <c r="H95" s="29">
        <f t="shared" si="31"/>
        <v>31961557.706179995</v>
      </c>
      <c r="I95" s="29">
        <f t="shared" si="31"/>
        <v>31668788.637634531</v>
      </c>
      <c r="J95" s="29">
        <f t="shared" si="31"/>
        <v>31669467.571476042</v>
      </c>
      <c r="K95" s="29">
        <f t="shared" si="31"/>
        <v>32322346.749270238</v>
      </c>
      <c r="L95" s="29">
        <f t="shared" si="31"/>
        <v>30345560.117182314</v>
      </c>
      <c r="M95" s="68">
        <f t="shared" si="31"/>
        <v>35354834.597900212</v>
      </c>
      <c r="N95" s="14">
        <f t="shared" si="32"/>
        <v>365551446.94062728</v>
      </c>
    </row>
    <row r="96" spans="1:14" x14ac:dyDescent="0.25">
      <c r="A96" s="12" t="str">
        <f t="shared" si="29"/>
        <v>Gerenciamento CETURB (5% do subsídio) (R$)</v>
      </c>
      <c r="B96" s="13">
        <f t="shared" si="31"/>
        <v>1472093.8427814404</v>
      </c>
      <c r="C96" s="29">
        <f t="shared" si="31"/>
        <v>1226286.3969150565</v>
      </c>
      <c r="D96" s="29">
        <f t="shared" si="31"/>
        <v>1492010.8144324534</v>
      </c>
      <c r="E96" s="29">
        <f t="shared" si="31"/>
        <v>1428482.0760231982</v>
      </c>
      <c r="F96" s="29">
        <f t="shared" si="31"/>
        <v>1504732.4585091088</v>
      </c>
      <c r="G96" s="29">
        <f t="shared" si="31"/>
        <v>1487838.9893879385</v>
      </c>
      <c r="H96" s="29">
        <f t="shared" si="31"/>
        <v>1598077.8853089998</v>
      </c>
      <c r="I96" s="29">
        <f t="shared" si="31"/>
        <v>1583439.4318817267</v>
      </c>
      <c r="J96" s="29">
        <f t="shared" si="31"/>
        <v>1583473.3785738023</v>
      </c>
      <c r="K96" s="29">
        <f t="shared" si="31"/>
        <v>1616117.3374635121</v>
      </c>
      <c r="L96" s="29">
        <f t="shared" si="31"/>
        <v>1517278.0058591156</v>
      </c>
      <c r="M96" s="68">
        <f t="shared" si="31"/>
        <v>1767741.7298950108</v>
      </c>
      <c r="N96" s="14">
        <f t="shared" si="32"/>
        <v>18277572.347031366</v>
      </c>
    </row>
    <row r="97" spans="1:14" x14ac:dyDescent="0.25">
      <c r="A97" s="15" t="str">
        <f t="shared" si="29"/>
        <v>IPK - Índice de passageiro por km</v>
      </c>
      <c r="B97" s="69">
        <f t="shared" ref="B97:N97" si="33">B115/B99</f>
        <v>1.5084937410552655</v>
      </c>
      <c r="C97" s="70">
        <f t="shared" si="33"/>
        <v>1.6470073675876153</v>
      </c>
      <c r="D97" s="70">
        <f t="shared" si="33"/>
        <v>1.5654071039020296</v>
      </c>
      <c r="E97" s="70">
        <f t="shared" si="33"/>
        <v>1.592393217628284</v>
      </c>
      <c r="F97" s="70">
        <f t="shared" si="33"/>
        <v>1.598817061483756</v>
      </c>
      <c r="G97" s="70">
        <f t="shared" si="33"/>
        <v>1.575890881184258</v>
      </c>
      <c r="H97" s="70">
        <f t="shared" si="33"/>
        <v>1.5436439562428854</v>
      </c>
      <c r="I97" s="70">
        <f t="shared" si="33"/>
        <v>1.5772917269630664</v>
      </c>
      <c r="J97" s="70">
        <f t="shared" si="33"/>
        <v>1.568158978795815</v>
      </c>
      <c r="K97" s="70">
        <f t="shared" si="33"/>
        <v>1.5936889032171171</v>
      </c>
      <c r="L97" s="70">
        <f t="shared" si="33"/>
        <v>1.5647904196667208</v>
      </c>
      <c r="M97" s="71">
        <f t="shared" si="33"/>
        <v>1.4253042839710068</v>
      </c>
      <c r="N97" s="72">
        <f t="shared" si="33"/>
        <v>1.5629712996815996</v>
      </c>
    </row>
    <row r="98" spans="1:14" x14ac:dyDescent="0.25">
      <c r="A98" s="15" t="str">
        <f t="shared" si="29"/>
        <v>Passageiro por Viagem</v>
      </c>
      <c r="B98" s="21">
        <f>B115/B100</f>
        <v>43.140957529335871</v>
      </c>
      <c r="C98" s="21">
        <f t="shared" ref="C98:N98" si="34">C115/C100</f>
        <v>47.003796653470467</v>
      </c>
      <c r="D98" s="21">
        <f t="shared" si="34"/>
        <v>44.650285141096369</v>
      </c>
      <c r="E98" s="21">
        <f t="shared" si="34"/>
        <v>45.362034267779819</v>
      </c>
      <c r="F98" s="21">
        <f t="shared" si="34"/>
        <v>45.541296449484655</v>
      </c>
      <c r="G98" s="21">
        <f t="shared" si="34"/>
        <v>44.922387001843767</v>
      </c>
      <c r="H98" s="21">
        <f t="shared" si="34"/>
        <v>44.019810009092573</v>
      </c>
      <c r="I98" s="21">
        <f t="shared" si="34"/>
        <v>44.957739122152354</v>
      </c>
      <c r="J98" s="21">
        <f t="shared" si="34"/>
        <v>44.452129450415313</v>
      </c>
      <c r="K98" s="21">
        <f t="shared" si="34"/>
        <v>45.234419618496375</v>
      </c>
      <c r="L98" s="21">
        <f t="shared" si="34"/>
        <v>44.640791132504873</v>
      </c>
      <c r="M98" s="21">
        <f t="shared" si="34"/>
        <v>40.587240302097797</v>
      </c>
      <c r="N98" s="23">
        <f t="shared" si="34"/>
        <v>44.528200923738822</v>
      </c>
    </row>
    <row r="99" spans="1:14" x14ac:dyDescent="0.25">
      <c r="A99" s="12" t="str">
        <f t="shared" si="29"/>
        <v>Km Remunerada</v>
      </c>
      <c r="B99" s="13">
        <f t="shared" ref="B99:M100" si="35">B15+B57</f>
        <v>8755563.0099999998</v>
      </c>
      <c r="C99" s="29">
        <f t="shared" si="35"/>
        <v>8445191.7300000004</v>
      </c>
      <c r="D99" s="29">
        <f t="shared" si="35"/>
        <v>8900309.6799999997</v>
      </c>
      <c r="E99" s="29">
        <f t="shared" si="35"/>
        <v>8677078.5299999993</v>
      </c>
      <c r="F99" s="29">
        <f t="shared" si="35"/>
        <v>9176652.7599999998</v>
      </c>
      <c r="G99" s="29">
        <f t="shared" si="35"/>
        <v>8727590.3200000003</v>
      </c>
      <c r="H99" s="29">
        <f t="shared" si="35"/>
        <v>9424508.120000001</v>
      </c>
      <c r="I99" s="29">
        <f t="shared" si="35"/>
        <v>9276811.4800000004</v>
      </c>
      <c r="J99" s="29">
        <f t="shared" si="35"/>
        <v>9219380.9399999995</v>
      </c>
      <c r="K99" s="29">
        <f t="shared" si="35"/>
        <v>9596720.5199999996</v>
      </c>
      <c r="L99" s="29">
        <f t="shared" si="35"/>
        <v>8712111.1099999994</v>
      </c>
      <c r="M99" s="68">
        <f t="shared" si="35"/>
        <v>9156562.6699999999</v>
      </c>
      <c r="N99" s="14">
        <f>SUM(B99:M99)</f>
        <v>108068480.87</v>
      </c>
    </row>
    <row r="100" spans="1:14" x14ac:dyDescent="0.25">
      <c r="A100" s="12" t="str">
        <f t="shared" si="29"/>
        <v>Viagens Remuneradas</v>
      </c>
      <c r="B100" s="13">
        <f t="shared" si="35"/>
        <v>306152.5</v>
      </c>
      <c r="C100" s="29">
        <f t="shared" si="35"/>
        <v>295918.5</v>
      </c>
      <c r="D100" s="29">
        <f t="shared" si="35"/>
        <v>312038.5</v>
      </c>
      <c r="E100" s="29">
        <f t="shared" si="35"/>
        <v>304601</v>
      </c>
      <c r="F100" s="29">
        <f t="shared" si="35"/>
        <v>322164.5</v>
      </c>
      <c r="G100" s="29">
        <f t="shared" si="35"/>
        <v>306166.5</v>
      </c>
      <c r="H100" s="29">
        <f t="shared" si="35"/>
        <v>330489.5</v>
      </c>
      <c r="I100" s="29">
        <f t="shared" si="35"/>
        <v>325466.5</v>
      </c>
      <c r="J100" s="29">
        <f t="shared" si="35"/>
        <v>325236.5</v>
      </c>
      <c r="K100" s="29">
        <f t="shared" si="35"/>
        <v>338109.5</v>
      </c>
      <c r="L100" s="29">
        <f t="shared" si="35"/>
        <v>305385</v>
      </c>
      <c r="M100" s="68">
        <f t="shared" si="35"/>
        <v>321551.5</v>
      </c>
      <c r="N100" s="14">
        <f>SUM(B100:M100)</f>
        <v>3793280</v>
      </c>
    </row>
    <row r="101" spans="1:14" x14ac:dyDescent="0.25">
      <c r="A101" s="15" t="str">
        <f t="shared" si="29"/>
        <v>P.M.M - Percurso Médio Mensal</v>
      </c>
      <c r="B101" s="73">
        <f t="shared" ref="B101:M101" si="36">B99/B104</f>
        <v>5428.1233787972724</v>
      </c>
      <c r="C101" s="74">
        <f t="shared" si="36"/>
        <v>5235.7047303161817</v>
      </c>
      <c r="D101" s="74">
        <f t="shared" si="36"/>
        <v>5514.4421809169762</v>
      </c>
      <c r="E101" s="74">
        <f t="shared" si="36"/>
        <v>5379.4659206447604</v>
      </c>
      <c r="F101" s="74">
        <f t="shared" si="36"/>
        <v>5657.6157583230579</v>
      </c>
      <c r="G101" s="74">
        <f t="shared" si="36"/>
        <v>5377.443203943315</v>
      </c>
      <c r="H101" s="74">
        <f t="shared" si="36"/>
        <v>5803.26854679803</v>
      </c>
      <c r="I101" s="74">
        <f t="shared" si="36"/>
        <v>5670.4226650366754</v>
      </c>
      <c r="J101" s="74">
        <f t="shared" si="36"/>
        <v>5631.8759560171038</v>
      </c>
      <c r="K101" s="74">
        <f t="shared" si="36"/>
        <v>5862.3827244960294</v>
      </c>
      <c r="L101" s="74">
        <f t="shared" si="36"/>
        <v>5318.7491514041512</v>
      </c>
      <c r="M101" s="75">
        <f t="shared" si="36"/>
        <v>5590.0871001221003</v>
      </c>
      <c r="N101" s="17">
        <f>SUM(B101:J101)</f>
        <v>49698.362340793377</v>
      </c>
    </row>
    <row r="102" spans="1:14" x14ac:dyDescent="0.25">
      <c r="A102" s="12" t="str">
        <f t="shared" si="29"/>
        <v>Frota Total</v>
      </c>
      <c r="B102" s="32">
        <f t="shared" ref="B102:M102" si="37">B18+B60</f>
        <v>1769</v>
      </c>
      <c r="C102" s="32">
        <f t="shared" si="37"/>
        <v>1770</v>
      </c>
      <c r="D102" s="32">
        <f t="shared" si="37"/>
        <v>1770</v>
      </c>
      <c r="E102" s="32">
        <f t="shared" si="37"/>
        <v>1772</v>
      </c>
      <c r="F102" s="32">
        <f t="shared" si="37"/>
        <v>1777</v>
      </c>
      <c r="G102" s="32">
        <f t="shared" si="37"/>
        <v>1780</v>
      </c>
      <c r="H102" s="32">
        <f t="shared" si="37"/>
        <v>1781</v>
      </c>
      <c r="I102" s="32">
        <f t="shared" si="37"/>
        <v>1797</v>
      </c>
      <c r="J102" s="32">
        <f t="shared" si="37"/>
        <v>1795</v>
      </c>
      <c r="K102" s="32">
        <f t="shared" si="37"/>
        <v>1797</v>
      </c>
      <c r="L102" s="32">
        <f t="shared" si="37"/>
        <v>1799</v>
      </c>
      <c r="M102" s="32">
        <f t="shared" si="37"/>
        <v>1797</v>
      </c>
      <c r="N102" s="76">
        <f t="shared" ref="N102:N114" si="38">AVERAGE(B102:M102)</f>
        <v>1783.6666666666667</v>
      </c>
    </row>
    <row r="103" spans="1:14" x14ac:dyDescent="0.25">
      <c r="A103" s="12" t="str">
        <f t="shared" si="29"/>
        <v xml:space="preserve">Idade Média </v>
      </c>
      <c r="B103" s="77">
        <v>7.05</v>
      </c>
      <c r="C103" s="78">
        <f>'[1]2025'!$C$105</f>
        <v>7.2052689352360044</v>
      </c>
      <c r="D103" s="78">
        <f>'[1]2025'!$D$105</f>
        <v>7.2052689352360044</v>
      </c>
      <c r="E103" s="78">
        <f>[27]GECON!$G$29</f>
        <v>7.0727990970654631</v>
      </c>
      <c r="F103" s="78">
        <f>[28]GECON!$G$29</f>
        <v>7.0005627462014628</v>
      </c>
      <c r="G103" s="78">
        <f>[29]GECON!$G$29</f>
        <v>6.9393258426966291</v>
      </c>
      <c r="H103" s="78">
        <f>[30]GECON!$G$29</f>
        <v>6.6041549691184729</v>
      </c>
      <c r="I103" s="78">
        <f>[31]GECON!$G$29</f>
        <v>6.2710072342793541</v>
      </c>
      <c r="J103" s="78">
        <f>[32]GECON!$G$29</f>
        <v>5.8735376044568248</v>
      </c>
      <c r="K103" s="78">
        <f>[33]GECON!$G$29</f>
        <v>5.8970506399554816</v>
      </c>
      <c r="L103" s="78">
        <f>[34]GECON!$G$29</f>
        <v>5.7776542523624235</v>
      </c>
      <c r="M103" s="79">
        <f>[35]GECON!$G$29</f>
        <v>6.4056761268781299</v>
      </c>
      <c r="N103" s="36">
        <f t="shared" si="38"/>
        <v>6.6085255319571878</v>
      </c>
    </row>
    <row r="104" spans="1:14" x14ac:dyDescent="0.25">
      <c r="A104" s="30" t="str">
        <f t="shared" si="29"/>
        <v>Frota Operante</v>
      </c>
      <c r="B104" s="32">
        <f t="shared" ref="B104:M105" si="39">B20+B62</f>
        <v>1613</v>
      </c>
      <c r="C104" s="32">
        <f t="shared" si="39"/>
        <v>1613</v>
      </c>
      <c r="D104" s="32">
        <f t="shared" si="39"/>
        <v>1614</v>
      </c>
      <c r="E104" s="32">
        <f t="shared" si="39"/>
        <v>1613</v>
      </c>
      <c r="F104" s="32">
        <f t="shared" si="39"/>
        <v>1622</v>
      </c>
      <c r="G104" s="32">
        <f t="shared" si="39"/>
        <v>1623</v>
      </c>
      <c r="H104" s="32">
        <f t="shared" si="39"/>
        <v>1624</v>
      </c>
      <c r="I104" s="32">
        <f t="shared" si="39"/>
        <v>1636</v>
      </c>
      <c r="J104" s="32">
        <f t="shared" si="39"/>
        <v>1637</v>
      </c>
      <c r="K104" s="32">
        <f t="shared" si="39"/>
        <v>1637</v>
      </c>
      <c r="L104" s="32">
        <f t="shared" si="39"/>
        <v>1638</v>
      </c>
      <c r="M104" s="32">
        <f t="shared" si="39"/>
        <v>1638</v>
      </c>
      <c r="N104" s="33">
        <f t="shared" si="38"/>
        <v>1625.6666666666667</v>
      </c>
    </row>
    <row r="105" spans="1:14" x14ac:dyDescent="0.25">
      <c r="A105" s="12" t="str">
        <f t="shared" si="29"/>
        <v xml:space="preserve">Convencional   </v>
      </c>
      <c r="B105" s="32">
        <f t="shared" si="39"/>
        <v>1630</v>
      </c>
      <c r="C105" s="32">
        <f t="shared" si="39"/>
        <v>1630</v>
      </c>
      <c r="D105" s="32">
        <f t="shared" si="39"/>
        <v>1630</v>
      </c>
      <c r="E105" s="32">
        <f t="shared" si="39"/>
        <v>1629</v>
      </c>
      <c r="F105" s="32">
        <f t="shared" si="39"/>
        <v>1631</v>
      </c>
      <c r="G105" s="32">
        <f t="shared" si="39"/>
        <v>1635</v>
      </c>
      <c r="H105" s="32">
        <f t="shared" si="39"/>
        <v>1637</v>
      </c>
      <c r="I105" s="32">
        <f t="shared" si="39"/>
        <v>1651</v>
      </c>
      <c r="J105" s="32">
        <f t="shared" si="39"/>
        <v>1649</v>
      </c>
      <c r="K105" s="32">
        <f t="shared" si="39"/>
        <v>1649</v>
      </c>
      <c r="L105" s="32">
        <f t="shared" si="39"/>
        <v>1652</v>
      </c>
      <c r="M105" s="32">
        <f t="shared" si="39"/>
        <v>1649</v>
      </c>
      <c r="N105" s="34">
        <f t="shared" si="38"/>
        <v>1639.3333333333333</v>
      </c>
    </row>
    <row r="106" spans="1:14" x14ac:dyDescent="0.25">
      <c r="A106" s="12" t="str">
        <f t="shared" si="29"/>
        <v xml:space="preserve">Idade Média </v>
      </c>
      <c r="B106" s="29">
        <f>'[1]2025'!$B$100</f>
        <v>7.1665675193337295</v>
      </c>
      <c r="C106" s="29">
        <f>'[1]2025'!$B$100</f>
        <v>7.1665675193337295</v>
      </c>
      <c r="D106" s="29">
        <f>'[1]2025'!$D$105</f>
        <v>7.2052689352360044</v>
      </c>
      <c r="E106" s="29">
        <f>[27]GECON!$G$23</f>
        <v>7.0521792510742785</v>
      </c>
      <c r="F106" s="29">
        <f>[28]GECON!$G$23</f>
        <v>7.0545677498467194</v>
      </c>
      <c r="G106" s="29">
        <f>[29]GECON!$G$23</f>
        <v>7.0067278287461772</v>
      </c>
      <c r="H106" s="29">
        <f>[30]GECON!$G$23</f>
        <v>6.6475259621258402</v>
      </c>
      <c r="I106" s="29">
        <f>[31]GECON!$G$23</f>
        <v>6.2768019382192612</v>
      </c>
      <c r="J106" s="29">
        <f>[32]GECON!$G$23</f>
        <v>5.9642207398423288</v>
      </c>
      <c r="K106" s="29">
        <f>[33]GECON!$G$23</f>
        <v>5.9969678593086719</v>
      </c>
      <c r="L106" s="29">
        <f>[34]GECON!$G$23</f>
        <v>5.8795399515738502</v>
      </c>
      <c r="M106" s="29">
        <f>[35]GECON!$G$23</f>
        <v>6.4990903577926016</v>
      </c>
      <c r="N106" s="14">
        <f t="shared" si="38"/>
        <v>6.6596688010360987</v>
      </c>
    </row>
    <row r="107" spans="1:14" x14ac:dyDescent="0.25">
      <c r="A107" s="12" t="str">
        <f t="shared" si="29"/>
        <v>Articulado</v>
      </c>
      <c r="B107" s="32">
        <f t="shared" ref="B107:M107" si="40">B23+B65</f>
        <v>73</v>
      </c>
      <c r="C107" s="32">
        <f t="shared" si="40"/>
        <v>74</v>
      </c>
      <c r="D107" s="32">
        <f t="shared" si="40"/>
        <v>73</v>
      </c>
      <c r="E107" s="32">
        <f t="shared" si="40"/>
        <v>74</v>
      </c>
      <c r="F107" s="32">
        <f t="shared" si="40"/>
        <v>73</v>
      </c>
      <c r="G107" s="32">
        <f t="shared" si="40"/>
        <v>72</v>
      </c>
      <c r="H107" s="32">
        <f t="shared" si="40"/>
        <v>71</v>
      </c>
      <c r="I107" s="32">
        <f t="shared" si="40"/>
        <v>73</v>
      </c>
      <c r="J107" s="32">
        <f t="shared" si="40"/>
        <v>72</v>
      </c>
      <c r="K107" s="32">
        <f t="shared" si="40"/>
        <v>74</v>
      </c>
      <c r="L107" s="32">
        <f t="shared" si="40"/>
        <v>74</v>
      </c>
      <c r="M107" s="32">
        <f t="shared" si="40"/>
        <v>74</v>
      </c>
      <c r="N107" s="35">
        <f t="shared" si="38"/>
        <v>73.083333333333329</v>
      </c>
    </row>
    <row r="108" spans="1:14" x14ac:dyDescent="0.25">
      <c r="A108" s="12" t="str">
        <f t="shared" si="29"/>
        <v xml:space="preserve">Idade Média </v>
      </c>
      <c r="B108" s="29">
        <f>'[1]2025'!$B$102</f>
        <v>9.9210526315789469</v>
      </c>
      <c r="C108" s="29">
        <f>'[1]2025'!$C$102</f>
        <v>9.8461538461538467</v>
      </c>
      <c r="D108" s="29">
        <f>'[1]2025'!$D$102</f>
        <v>9.9210526315789469</v>
      </c>
      <c r="E108" s="29">
        <f>[27]GECON!$G$26</f>
        <v>9.8378378378378386</v>
      </c>
      <c r="F108" s="29">
        <f>[28]GECON!$G$26</f>
        <v>9.9589041095890405</v>
      </c>
      <c r="G108" s="29">
        <f>[29]GECON!$G$26</f>
        <v>9.7361111111111107</v>
      </c>
      <c r="H108" s="29">
        <f>[30]GECON!$G$26</f>
        <v>9.647887323943662</v>
      </c>
      <c r="I108" s="29">
        <f>[31]GECON!$G$26</f>
        <v>9.7397260273972606</v>
      </c>
      <c r="J108" s="29">
        <f>[32]GECON!$G$26</f>
        <v>7.2777777777777777</v>
      </c>
      <c r="K108" s="29">
        <f>[33]GECON!$G$26</f>
        <v>7.0810810810810807</v>
      </c>
      <c r="L108" s="29">
        <f>[34]GECON!$G$26</f>
        <v>6.7297297297297298</v>
      </c>
      <c r="M108" s="29">
        <f>[35]GECON!$G$26</f>
        <v>7.4594594594594597</v>
      </c>
      <c r="N108" s="14">
        <f t="shared" si="38"/>
        <v>8.9297311306032228</v>
      </c>
    </row>
    <row r="109" spans="1:14" x14ac:dyDescent="0.25">
      <c r="A109" s="12" t="str">
        <f t="shared" si="29"/>
        <v>Micro</v>
      </c>
      <c r="B109" s="32">
        <f t="shared" ref="B109:M109" si="41">B25+B67</f>
        <v>39</v>
      </c>
      <c r="C109" s="32">
        <f t="shared" si="41"/>
        <v>39</v>
      </c>
      <c r="D109" s="32">
        <f t="shared" si="41"/>
        <v>39</v>
      </c>
      <c r="E109" s="32">
        <f t="shared" si="41"/>
        <v>39</v>
      </c>
      <c r="F109" s="32">
        <f t="shared" si="41"/>
        <v>39</v>
      </c>
      <c r="G109" s="32">
        <f t="shared" si="41"/>
        <v>39</v>
      </c>
      <c r="H109" s="32">
        <f t="shared" si="41"/>
        <v>39</v>
      </c>
      <c r="I109" s="32">
        <f t="shared" si="41"/>
        <v>39</v>
      </c>
      <c r="J109" s="32">
        <f t="shared" si="41"/>
        <v>39</v>
      </c>
      <c r="K109" s="32">
        <f t="shared" si="41"/>
        <v>39</v>
      </c>
      <c r="L109" s="32">
        <f t="shared" si="41"/>
        <v>39</v>
      </c>
      <c r="M109" s="32">
        <f t="shared" si="41"/>
        <v>39</v>
      </c>
      <c r="N109" s="35">
        <f t="shared" si="38"/>
        <v>39</v>
      </c>
    </row>
    <row r="110" spans="1:14" x14ac:dyDescent="0.25">
      <c r="A110" s="12" t="str">
        <f t="shared" si="29"/>
        <v xml:space="preserve">Idade Média </v>
      </c>
      <c r="B110" s="29">
        <f>'[1]2025'!$B$104</f>
        <v>5.6363636363636367</v>
      </c>
      <c r="C110" s="29">
        <f>'[1]2025'!$C$104</f>
        <v>5.6363636363636367</v>
      </c>
      <c r="D110" s="29">
        <f>'[1]2025'!$D$104</f>
        <v>5.6363636363636367</v>
      </c>
      <c r="E110" s="29">
        <f>[27]GECON!$G$25</f>
        <v>4.7948717948717947</v>
      </c>
      <c r="F110" s="29">
        <f>[28]GECON!$G$25</f>
        <v>5.1025641025641022</v>
      </c>
      <c r="G110" s="29">
        <f>[29]GECON!$G$25</f>
        <v>4.7948717948717947</v>
      </c>
      <c r="H110" s="29">
        <f>[30]GECON!$G$25</f>
        <v>4.7948717948717947</v>
      </c>
      <c r="I110" s="29">
        <f>[31]GECON!$G$25</f>
        <v>4.7948717948717947</v>
      </c>
      <c r="J110" s="29">
        <f>[32]GECON!$G$25</f>
        <v>4.4615384615384617</v>
      </c>
      <c r="K110" s="29">
        <f>[33]GECON!$G$25</f>
        <v>4.4615384615384617</v>
      </c>
      <c r="L110" s="29">
        <f>[34]GECON!$G$25</f>
        <v>4.4871794871794872</v>
      </c>
      <c r="M110" s="29">
        <f>[35]GECON!$G$25</f>
        <v>5.0512820512820511</v>
      </c>
      <c r="N110" s="36">
        <f t="shared" si="38"/>
        <v>4.9710567210567209</v>
      </c>
    </row>
    <row r="111" spans="1:14" x14ac:dyDescent="0.25">
      <c r="A111" s="12" t="str">
        <f t="shared" si="29"/>
        <v>Padron Elétrico</v>
      </c>
      <c r="B111" s="32">
        <f t="shared" ref="B111:M111" si="42">B27+B69</f>
        <v>2</v>
      </c>
      <c r="C111" s="32">
        <f t="shared" si="42"/>
        <v>2</v>
      </c>
      <c r="D111" s="32">
        <f t="shared" si="42"/>
        <v>3</v>
      </c>
      <c r="E111" s="32">
        <f t="shared" si="42"/>
        <v>5</v>
      </c>
      <c r="F111" s="32">
        <f t="shared" si="42"/>
        <v>4</v>
      </c>
      <c r="G111" s="32">
        <f t="shared" si="42"/>
        <v>4</v>
      </c>
      <c r="H111" s="32">
        <f t="shared" si="42"/>
        <v>4</v>
      </c>
      <c r="I111" s="32">
        <f t="shared" si="42"/>
        <v>4</v>
      </c>
      <c r="J111" s="32">
        <f t="shared" si="42"/>
        <v>5</v>
      </c>
      <c r="K111" s="32">
        <f t="shared" si="42"/>
        <v>5</v>
      </c>
      <c r="L111" s="32">
        <f t="shared" si="42"/>
        <v>4</v>
      </c>
      <c r="M111" s="32">
        <f t="shared" si="42"/>
        <v>5</v>
      </c>
      <c r="N111" s="35">
        <f t="shared" si="38"/>
        <v>3.9166666666666665</v>
      </c>
    </row>
    <row r="112" spans="1:14" x14ac:dyDescent="0.25">
      <c r="A112" s="12" t="str">
        <f t="shared" si="29"/>
        <v xml:space="preserve">Idade Média </v>
      </c>
      <c r="B112" s="29">
        <v>2</v>
      </c>
      <c r="C112" s="29">
        <f>[38]GECON!$G$24</f>
        <v>2</v>
      </c>
      <c r="D112" s="29">
        <f>[37]GECON!$G$24</f>
        <v>2</v>
      </c>
      <c r="E112" s="29">
        <f>[27]GECON!$G$24</f>
        <v>1.6</v>
      </c>
      <c r="F112" s="29">
        <f>[28]GECON!$G$24</f>
        <v>2</v>
      </c>
      <c r="G112" s="29">
        <f>[29]GECON!$G$24</f>
        <v>2</v>
      </c>
      <c r="H112" s="29">
        <f>[30]GECON!$G$24</f>
        <v>2</v>
      </c>
      <c r="I112" s="29">
        <f>[31]GECON!$G$24</f>
        <v>2</v>
      </c>
      <c r="J112" s="29">
        <f>[32]GECON!$G$24</f>
        <v>2</v>
      </c>
      <c r="K112" s="29">
        <f>[33]GECON!$G$24</f>
        <v>2</v>
      </c>
      <c r="L112" s="29">
        <f>[34]GECON!$G$24</f>
        <v>2</v>
      </c>
      <c r="M112" s="29">
        <f>[35]GECON!$G$24</f>
        <v>3</v>
      </c>
      <c r="N112" s="36">
        <f t="shared" si="38"/>
        <v>2.0500000000000003</v>
      </c>
    </row>
    <row r="113" spans="1:14" x14ac:dyDescent="0.25">
      <c r="A113" s="12" t="str">
        <f t="shared" si="29"/>
        <v>Micro Transcol +Acessível</v>
      </c>
      <c r="B113" s="32">
        <f t="shared" ref="B113:M113" si="43">B29+B71</f>
        <v>25</v>
      </c>
      <c r="C113" s="32">
        <f t="shared" si="43"/>
        <v>25</v>
      </c>
      <c r="D113" s="32">
        <f t="shared" si="43"/>
        <v>25</v>
      </c>
      <c r="E113" s="32">
        <f t="shared" si="43"/>
        <v>25</v>
      </c>
      <c r="F113" s="32">
        <f t="shared" si="43"/>
        <v>30</v>
      </c>
      <c r="G113" s="32">
        <f t="shared" si="43"/>
        <v>30</v>
      </c>
      <c r="H113" s="32">
        <f t="shared" si="43"/>
        <v>30</v>
      </c>
      <c r="I113" s="32">
        <f t="shared" si="43"/>
        <v>30</v>
      </c>
      <c r="J113" s="32">
        <f t="shared" si="43"/>
        <v>30</v>
      </c>
      <c r="K113" s="32">
        <f t="shared" si="43"/>
        <v>30</v>
      </c>
      <c r="L113" s="32">
        <f t="shared" si="43"/>
        <v>30</v>
      </c>
      <c r="M113" s="32">
        <f t="shared" si="43"/>
        <v>30</v>
      </c>
      <c r="N113" s="35">
        <f t="shared" si="38"/>
        <v>28.333333333333332</v>
      </c>
    </row>
    <row r="114" spans="1:14" x14ac:dyDescent="0.25">
      <c r="A114" s="12" t="str">
        <f t="shared" si="29"/>
        <v xml:space="preserve">Idade Média </v>
      </c>
      <c r="B114" s="80">
        <f>'[1]2025'!$B$109</f>
        <v>4.88</v>
      </c>
      <c r="C114" s="81">
        <f>'[1]2025'!$C$109</f>
        <v>4.88</v>
      </c>
      <c r="D114" s="81">
        <f>'[1]2025'!$D$109</f>
        <v>4.88</v>
      </c>
      <c r="E114" s="81">
        <f>[27]GECON!$G$27</f>
        <v>4.88</v>
      </c>
      <c r="F114" s="81">
        <f>[28]GECON!$K$27</f>
        <v>4.88</v>
      </c>
      <c r="G114" s="81">
        <f>[29]GECON!$G$28</f>
        <v>0</v>
      </c>
      <c r="H114" s="81">
        <f>[30]GECON!$G$28</f>
        <v>0</v>
      </c>
      <c r="I114" s="81">
        <f>[31]GECON!$G$28</f>
        <v>0</v>
      </c>
      <c r="J114" s="81">
        <f>[32]GECON!$G$28</f>
        <v>0</v>
      </c>
      <c r="K114" s="81">
        <f>[33]GECON!$G$28</f>
        <v>0</v>
      </c>
      <c r="L114" s="81">
        <f>[34]GECON!$G$28</f>
        <v>0</v>
      </c>
      <c r="M114" s="82">
        <f>[35]GECON!$G$28</f>
        <v>1</v>
      </c>
      <c r="N114" s="36">
        <f t="shared" si="38"/>
        <v>2.1166666666666667</v>
      </c>
    </row>
    <row r="115" spans="1:14" x14ac:dyDescent="0.25">
      <c r="A115" s="15" t="str">
        <f t="shared" si="29"/>
        <v>Demanda Total</v>
      </c>
      <c r="B115" s="83">
        <f t="shared" ref="B115:M124" si="44">B31+B73</f>
        <v>13207712</v>
      </c>
      <c r="C115" s="83">
        <f t="shared" si="44"/>
        <v>13909293</v>
      </c>
      <c r="D115" s="83">
        <f t="shared" si="44"/>
        <v>13932608</v>
      </c>
      <c r="E115" s="83">
        <f t="shared" si="44"/>
        <v>13817321</v>
      </c>
      <c r="F115" s="83">
        <f t="shared" si="44"/>
        <v>14671789</v>
      </c>
      <c r="G115" s="83">
        <f t="shared" si="44"/>
        <v>13753730</v>
      </c>
      <c r="H115" s="83">
        <f t="shared" si="44"/>
        <v>14548085</v>
      </c>
      <c r="I115" s="83">
        <f t="shared" si="44"/>
        <v>14632238</v>
      </c>
      <c r="J115" s="83">
        <f t="shared" si="44"/>
        <v>14457455</v>
      </c>
      <c r="K115" s="83">
        <f t="shared" si="44"/>
        <v>15294187</v>
      </c>
      <c r="L115" s="83">
        <f t="shared" si="44"/>
        <v>13632628</v>
      </c>
      <c r="M115" s="83">
        <f t="shared" si="44"/>
        <v>13050888</v>
      </c>
      <c r="N115" s="39">
        <f t="shared" ref="N115:N124" si="45">SUM(B115:M115)</f>
        <v>168907934</v>
      </c>
    </row>
    <row r="116" spans="1:14" x14ac:dyDescent="0.25">
      <c r="A116" s="12" t="str">
        <f t="shared" si="29"/>
        <v>Vale Transporte</v>
      </c>
      <c r="B116" s="84">
        <f t="shared" si="44"/>
        <v>6548541</v>
      </c>
      <c r="C116" s="85">
        <f t="shared" si="44"/>
        <v>6493504</v>
      </c>
      <c r="D116" s="85">
        <f t="shared" si="44"/>
        <v>6493699</v>
      </c>
      <c r="E116" s="85">
        <f t="shared" si="44"/>
        <v>6355587</v>
      </c>
      <c r="F116" s="85">
        <f t="shared" si="44"/>
        <v>6794605</v>
      </c>
      <c r="G116" s="85">
        <f t="shared" si="44"/>
        <v>6369600</v>
      </c>
      <c r="H116" s="85">
        <f t="shared" si="44"/>
        <v>7020888</v>
      </c>
      <c r="I116" s="85">
        <f t="shared" si="44"/>
        <v>6794435</v>
      </c>
      <c r="J116" s="85">
        <f t="shared" si="44"/>
        <v>6777725</v>
      </c>
      <c r="K116" s="85">
        <f t="shared" si="44"/>
        <v>7111855</v>
      </c>
      <c r="L116" s="85">
        <f t="shared" si="44"/>
        <v>6249862</v>
      </c>
      <c r="M116" s="86">
        <f t="shared" si="44"/>
        <v>6185582</v>
      </c>
      <c r="N116" s="35">
        <f t="shared" si="45"/>
        <v>79195883</v>
      </c>
    </row>
    <row r="117" spans="1:14" x14ac:dyDescent="0.25">
      <c r="A117" s="42" t="str">
        <f t="shared" si="29"/>
        <v>Cartão Cidadão</v>
      </c>
      <c r="B117" s="84">
        <f t="shared" si="44"/>
        <v>5093536</v>
      </c>
      <c r="C117" s="85">
        <f t="shared" si="44"/>
        <v>5364611</v>
      </c>
      <c r="D117" s="85">
        <f t="shared" si="44"/>
        <v>5066376</v>
      </c>
      <c r="E117" s="85">
        <f t="shared" si="44"/>
        <v>4986593</v>
      </c>
      <c r="F117" s="85">
        <f t="shared" si="44"/>
        <v>5172121</v>
      </c>
      <c r="G117" s="85">
        <f t="shared" si="44"/>
        <v>4780305</v>
      </c>
      <c r="H117" s="85">
        <f t="shared" si="44"/>
        <v>5165164</v>
      </c>
      <c r="I117" s="85">
        <f t="shared" si="44"/>
        <v>5060314</v>
      </c>
      <c r="J117" s="85">
        <f t="shared" si="44"/>
        <v>4971022</v>
      </c>
      <c r="K117" s="85">
        <f t="shared" si="44"/>
        <v>5213107</v>
      </c>
      <c r="L117" s="85">
        <f t="shared" si="44"/>
        <v>4754672</v>
      </c>
      <c r="M117" s="86">
        <f t="shared" si="44"/>
        <v>4797524</v>
      </c>
      <c r="N117" s="35">
        <f t="shared" si="45"/>
        <v>60425345</v>
      </c>
    </row>
    <row r="118" spans="1:14" x14ac:dyDescent="0.25">
      <c r="A118" s="42" t="str">
        <f t="shared" si="29"/>
        <v>Idoso Gratuito</v>
      </c>
      <c r="B118" s="84">
        <f t="shared" si="44"/>
        <v>1105019</v>
      </c>
      <c r="C118" s="85">
        <f t="shared" si="44"/>
        <v>1120503</v>
      </c>
      <c r="D118" s="85">
        <f t="shared" si="44"/>
        <v>1146053</v>
      </c>
      <c r="E118" s="85">
        <f t="shared" si="44"/>
        <v>1141664</v>
      </c>
      <c r="F118" s="85">
        <f t="shared" si="44"/>
        <v>1188177</v>
      </c>
      <c r="G118" s="85">
        <f t="shared" si="44"/>
        <v>1149680</v>
      </c>
      <c r="H118" s="85">
        <f t="shared" si="44"/>
        <v>1239957</v>
      </c>
      <c r="I118" s="85">
        <f t="shared" si="44"/>
        <v>1233423</v>
      </c>
      <c r="J118" s="85">
        <f t="shared" si="44"/>
        <v>1220939</v>
      </c>
      <c r="K118" s="85">
        <f t="shared" si="44"/>
        <v>1300646</v>
      </c>
      <c r="L118" s="85">
        <f t="shared" si="44"/>
        <v>1215905</v>
      </c>
      <c r="M118" s="86">
        <f t="shared" si="44"/>
        <v>1225265</v>
      </c>
      <c r="N118" s="35">
        <f t="shared" si="45"/>
        <v>14287231</v>
      </c>
    </row>
    <row r="119" spans="1:14" x14ac:dyDescent="0.25">
      <c r="A119" s="12" t="str">
        <f t="shared" si="29"/>
        <v>Passe Escolar (50%)</v>
      </c>
      <c r="B119" s="84">
        <f t="shared" si="44"/>
        <v>166662</v>
      </c>
      <c r="C119" s="85">
        <f t="shared" si="44"/>
        <v>371529</v>
      </c>
      <c r="D119" s="85">
        <f t="shared" si="44"/>
        <v>494980</v>
      </c>
      <c r="E119" s="85">
        <f t="shared" si="44"/>
        <v>533648</v>
      </c>
      <c r="F119" s="85">
        <f t="shared" si="44"/>
        <v>680741</v>
      </c>
      <c r="G119" s="85">
        <f t="shared" si="44"/>
        <v>637054</v>
      </c>
      <c r="H119" s="85">
        <f t="shared" si="44"/>
        <v>466277</v>
      </c>
      <c r="I119" s="85">
        <f t="shared" si="44"/>
        <v>660112</v>
      </c>
      <c r="J119" s="85">
        <f t="shared" si="44"/>
        <v>628655</v>
      </c>
      <c r="K119" s="85">
        <f t="shared" si="44"/>
        <v>736823</v>
      </c>
      <c r="L119" s="85">
        <f t="shared" si="44"/>
        <v>632947</v>
      </c>
      <c r="M119" s="86">
        <f t="shared" si="44"/>
        <v>374392</v>
      </c>
      <c r="N119" s="45">
        <f t="shared" si="45"/>
        <v>6383820</v>
      </c>
    </row>
    <row r="120" spans="1:14" x14ac:dyDescent="0.25">
      <c r="A120" s="42" t="str">
        <f t="shared" si="29"/>
        <v>Escolar Gratuito (100%)</v>
      </c>
      <c r="B120" s="84">
        <f t="shared" si="44"/>
        <v>4519</v>
      </c>
      <c r="C120" s="85">
        <f t="shared" si="44"/>
        <v>237749</v>
      </c>
      <c r="D120" s="85">
        <f t="shared" si="44"/>
        <v>411166</v>
      </c>
      <c r="E120" s="85">
        <f t="shared" si="44"/>
        <v>478073</v>
      </c>
      <c r="F120" s="85">
        <f t="shared" si="44"/>
        <v>500049</v>
      </c>
      <c r="G120" s="85">
        <f t="shared" si="44"/>
        <v>495816</v>
      </c>
      <c r="H120" s="85">
        <f t="shared" si="44"/>
        <v>316865</v>
      </c>
      <c r="I120" s="85">
        <f t="shared" si="44"/>
        <v>537687</v>
      </c>
      <c r="J120" s="85">
        <f t="shared" si="44"/>
        <v>515969</v>
      </c>
      <c r="K120" s="85">
        <f t="shared" si="44"/>
        <v>568542</v>
      </c>
      <c r="L120" s="85">
        <f t="shared" si="44"/>
        <v>447047</v>
      </c>
      <c r="M120" s="86">
        <f t="shared" si="44"/>
        <v>146898</v>
      </c>
      <c r="N120" s="45">
        <f t="shared" si="45"/>
        <v>4660380</v>
      </c>
    </row>
    <row r="121" spans="1:14" x14ac:dyDescent="0.25">
      <c r="A121" s="42" t="str">
        <f t="shared" si="29"/>
        <v>Deficiente Gratuito (100%)</v>
      </c>
      <c r="B121" s="84">
        <f t="shared" si="44"/>
        <v>208138</v>
      </c>
      <c r="C121" s="85">
        <f t="shared" si="44"/>
        <v>233053</v>
      </c>
      <c r="D121" s="85">
        <f t="shared" si="44"/>
        <v>233113</v>
      </c>
      <c r="E121" s="85">
        <f t="shared" si="44"/>
        <v>233124</v>
      </c>
      <c r="F121" s="85">
        <f t="shared" si="44"/>
        <v>241859</v>
      </c>
      <c r="G121" s="85">
        <f t="shared" si="44"/>
        <v>232323</v>
      </c>
      <c r="H121" s="85">
        <f t="shared" si="44"/>
        <v>240574</v>
      </c>
      <c r="I121" s="85">
        <f t="shared" si="44"/>
        <v>247079</v>
      </c>
      <c r="J121" s="85">
        <f t="shared" si="44"/>
        <v>241669</v>
      </c>
      <c r="K121" s="85">
        <f t="shared" si="44"/>
        <v>253221</v>
      </c>
      <c r="L121" s="85">
        <f t="shared" si="44"/>
        <v>235054</v>
      </c>
      <c r="M121" s="86">
        <f t="shared" si="44"/>
        <v>224963</v>
      </c>
      <c r="N121" s="45">
        <f t="shared" si="45"/>
        <v>2824170</v>
      </c>
    </row>
    <row r="122" spans="1:14" x14ac:dyDescent="0.25">
      <c r="A122" s="12" t="str">
        <f t="shared" si="29"/>
        <v>Integrado</v>
      </c>
      <c r="B122" s="84">
        <f t="shared" si="44"/>
        <v>78595</v>
      </c>
      <c r="C122" s="85">
        <f t="shared" si="44"/>
        <v>85890</v>
      </c>
      <c r="D122" s="85">
        <f t="shared" si="44"/>
        <v>84887</v>
      </c>
      <c r="E122" s="85">
        <f t="shared" si="44"/>
        <v>86225</v>
      </c>
      <c r="F122" s="85">
        <f t="shared" si="44"/>
        <v>91795</v>
      </c>
      <c r="G122" s="85">
        <f t="shared" si="44"/>
        <v>86446</v>
      </c>
      <c r="H122" s="85">
        <f t="shared" si="44"/>
        <v>95692</v>
      </c>
      <c r="I122" s="85">
        <f t="shared" si="44"/>
        <v>96689</v>
      </c>
      <c r="J122" s="85">
        <f t="shared" si="44"/>
        <v>98776</v>
      </c>
      <c r="K122" s="85">
        <f t="shared" si="44"/>
        <v>107227</v>
      </c>
      <c r="L122" s="85">
        <f t="shared" si="44"/>
        <v>94887</v>
      </c>
      <c r="M122" s="86">
        <f t="shared" si="44"/>
        <v>93607</v>
      </c>
      <c r="N122" s="45">
        <f t="shared" si="45"/>
        <v>1100716</v>
      </c>
    </row>
    <row r="123" spans="1:14" x14ac:dyDescent="0.25">
      <c r="A123" s="46" t="str">
        <f t="shared" si="29"/>
        <v>Passe Livre (Gratuito)</v>
      </c>
      <c r="B123" s="87">
        <f t="shared" si="44"/>
        <v>2682</v>
      </c>
      <c r="C123" s="88">
        <f t="shared" si="44"/>
        <v>2325</v>
      </c>
      <c r="D123" s="88">
        <f t="shared" si="44"/>
        <v>2125</v>
      </c>
      <c r="E123" s="88">
        <f t="shared" si="44"/>
        <v>2097</v>
      </c>
      <c r="F123" s="88">
        <f t="shared" si="44"/>
        <v>2133</v>
      </c>
      <c r="G123" s="88">
        <f t="shared" si="44"/>
        <v>2187</v>
      </c>
      <c r="H123" s="88">
        <f t="shared" si="44"/>
        <v>2360</v>
      </c>
      <c r="I123" s="88">
        <f t="shared" si="44"/>
        <v>2262</v>
      </c>
      <c r="J123" s="88">
        <f t="shared" si="44"/>
        <v>2371</v>
      </c>
      <c r="K123" s="88">
        <f t="shared" si="44"/>
        <v>2537</v>
      </c>
      <c r="L123" s="88">
        <f t="shared" si="44"/>
        <v>1989</v>
      </c>
      <c r="M123" s="89">
        <f t="shared" si="44"/>
        <v>2458</v>
      </c>
      <c r="N123" s="45">
        <f t="shared" si="45"/>
        <v>27526</v>
      </c>
    </row>
    <row r="124" spans="1:14" ht="15.75" thickBot="1" x14ac:dyDescent="0.3">
      <c r="A124" s="50" t="str">
        <f t="shared" si="29"/>
        <v xml:space="preserve">Vale Especial </v>
      </c>
      <c r="B124" s="90">
        <f t="shared" si="44"/>
        <v>20</v>
      </c>
      <c r="C124" s="91">
        <f t="shared" si="44"/>
        <v>129</v>
      </c>
      <c r="D124" s="91">
        <f t="shared" si="44"/>
        <v>209</v>
      </c>
      <c r="E124" s="91">
        <f t="shared" si="44"/>
        <v>310</v>
      </c>
      <c r="F124" s="91">
        <f t="shared" si="44"/>
        <v>309</v>
      </c>
      <c r="G124" s="91">
        <f t="shared" si="44"/>
        <v>319</v>
      </c>
      <c r="H124" s="91">
        <f t="shared" si="44"/>
        <v>308</v>
      </c>
      <c r="I124" s="91">
        <f t="shared" si="44"/>
        <v>237</v>
      </c>
      <c r="J124" s="91">
        <f t="shared" si="44"/>
        <v>329</v>
      </c>
      <c r="K124" s="91">
        <f t="shared" si="44"/>
        <v>229</v>
      </c>
      <c r="L124" s="91">
        <f t="shared" si="44"/>
        <v>265</v>
      </c>
      <c r="M124" s="92">
        <f t="shared" si="44"/>
        <v>199</v>
      </c>
      <c r="N124" s="53">
        <f t="shared" si="45"/>
        <v>2863</v>
      </c>
    </row>
    <row r="126" spans="1:14" x14ac:dyDescent="0.25">
      <c r="A126" s="93" t="s">
        <v>50</v>
      </c>
      <c r="B126" s="93"/>
      <c r="C126" s="93"/>
      <c r="D126" s="93"/>
      <c r="E126" s="93"/>
      <c r="F126" s="93"/>
      <c r="G126" s="93"/>
      <c r="H126" s="93"/>
      <c r="I126" s="93"/>
      <c r="J126" s="93"/>
    </row>
    <row r="127" spans="1:14" x14ac:dyDescent="0.25">
      <c r="A127" s="94" t="s">
        <v>16</v>
      </c>
      <c r="B127" s="95" t="s">
        <v>51</v>
      </c>
      <c r="C127" s="98"/>
      <c r="D127" s="98"/>
      <c r="E127" s="98"/>
      <c r="F127" s="98"/>
      <c r="G127" s="98"/>
      <c r="H127" s="98"/>
      <c r="I127" s="98"/>
      <c r="J127" s="99"/>
    </row>
    <row r="128" spans="1:14" x14ac:dyDescent="0.25">
      <c r="A128" s="94" t="s">
        <v>52</v>
      </c>
      <c r="B128" s="95" t="s">
        <v>53</v>
      </c>
      <c r="C128" s="100"/>
      <c r="D128" s="100"/>
      <c r="E128" s="100"/>
      <c r="F128" s="100"/>
      <c r="G128" s="100"/>
      <c r="H128" s="100"/>
      <c r="I128" s="100"/>
      <c r="J128" s="101"/>
    </row>
    <row r="129" spans="1:10" x14ac:dyDescent="0.25">
      <c r="A129" s="94" t="s">
        <v>18</v>
      </c>
      <c r="B129" s="95" t="s">
        <v>54</v>
      </c>
      <c r="C129" s="100"/>
      <c r="D129" s="100"/>
      <c r="E129" s="100"/>
      <c r="F129" s="100"/>
      <c r="G129" s="100"/>
      <c r="H129" s="100"/>
      <c r="I129" s="100"/>
      <c r="J129" s="101"/>
    </row>
    <row r="130" spans="1:10" x14ac:dyDescent="0.25">
      <c r="A130" s="94" t="s">
        <v>19</v>
      </c>
      <c r="B130" s="95" t="s">
        <v>55</v>
      </c>
      <c r="C130" s="100"/>
      <c r="D130" s="100"/>
      <c r="E130" s="100"/>
      <c r="F130" s="100"/>
      <c r="G130" s="100"/>
      <c r="H130" s="100"/>
      <c r="I130" s="100"/>
      <c r="J130" s="101"/>
    </row>
    <row r="131" spans="1:10" x14ac:dyDescent="0.25">
      <c r="A131" s="94" t="s">
        <v>56</v>
      </c>
      <c r="B131" s="95" t="s">
        <v>57</v>
      </c>
      <c r="C131" s="100"/>
      <c r="D131" s="100"/>
      <c r="E131" s="100"/>
      <c r="F131" s="100"/>
      <c r="G131" s="100"/>
      <c r="H131" s="100"/>
      <c r="I131" s="100"/>
      <c r="J131" s="101"/>
    </row>
    <row r="132" spans="1:10" x14ac:dyDescent="0.25">
      <c r="A132" s="94" t="s">
        <v>58</v>
      </c>
      <c r="B132" s="95" t="s">
        <v>59</v>
      </c>
      <c r="C132" s="100"/>
      <c r="D132" s="100"/>
      <c r="E132" s="100"/>
      <c r="F132" s="100"/>
      <c r="G132" s="100"/>
      <c r="H132" s="100"/>
      <c r="I132" s="100"/>
      <c r="J132" s="101"/>
    </row>
    <row r="133" spans="1:10" x14ac:dyDescent="0.25">
      <c r="A133" s="94" t="s">
        <v>60</v>
      </c>
      <c r="B133" s="95" t="s">
        <v>61</v>
      </c>
      <c r="C133" s="100"/>
      <c r="D133" s="100"/>
      <c r="E133" s="100"/>
      <c r="F133" s="100"/>
      <c r="G133" s="100"/>
      <c r="H133" s="100"/>
      <c r="I133" s="100"/>
      <c r="J133" s="101"/>
    </row>
    <row r="134" spans="1:10" x14ac:dyDescent="0.25">
      <c r="A134" s="94" t="s">
        <v>62</v>
      </c>
      <c r="B134" s="95" t="s">
        <v>63</v>
      </c>
      <c r="C134" s="100"/>
      <c r="D134" s="100"/>
      <c r="E134" s="100"/>
      <c r="F134" s="100"/>
      <c r="G134" s="100"/>
      <c r="H134" s="100"/>
      <c r="I134" s="100"/>
      <c r="J134" s="101"/>
    </row>
    <row r="135" spans="1:10" x14ac:dyDescent="0.25">
      <c r="A135" s="94" t="s">
        <v>24</v>
      </c>
      <c r="B135" s="95" t="s">
        <v>55</v>
      </c>
      <c r="C135" s="100"/>
      <c r="D135" s="100"/>
      <c r="E135" s="100"/>
      <c r="F135" s="100"/>
      <c r="G135" s="100"/>
      <c r="H135" s="100"/>
      <c r="I135" s="100"/>
      <c r="J135" s="101"/>
    </row>
    <row r="136" spans="1:10" x14ac:dyDescent="0.25">
      <c r="A136" s="94" t="s">
        <v>25</v>
      </c>
      <c r="B136" s="95" t="s">
        <v>64</v>
      </c>
      <c r="C136" s="100"/>
      <c r="D136" s="100"/>
      <c r="E136" s="100"/>
      <c r="F136" s="100"/>
      <c r="G136" s="100"/>
      <c r="H136" s="100"/>
      <c r="I136" s="100"/>
      <c r="J136" s="101"/>
    </row>
    <row r="137" spans="1:10" x14ac:dyDescent="0.25">
      <c r="A137" s="94" t="s">
        <v>26</v>
      </c>
      <c r="B137" s="95" t="s">
        <v>65</v>
      </c>
      <c r="C137" s="100"/>
      <c r="D137" s="100"/>
      <c r="E137" s="100"/>
      <c r="F137" s="100"/>
      <c r="G137" s="100"/>
      <c r="H137" s="100"/>
      <c r="I137" s="100"/>
      <c r="J137" s="101"/>
    </row>
    <row r="138" spans="1:10" x14ac:dyDescent="0.25">
      <c r="A138" s="94" t="s">
        <v>27</v>
      </c>
      <c r="B138" s="95" t="s">
        <v>66</v>
      </c>
      <c r="C138" s="100"/>
      <c r="D138" s="100"/>
      <c r="E138" s="100"/>
      <c r="F138" s="100"/>
      <c r="G138" s="100"/>
      <c r="H138" s="100"/>
      <c r="I138" s="100"/>
      <c r="J138" s="101"/>
    </row>
    <row r="139" spans="1:10" x14ac:dyDescent="0.25">
      <c r="A139" s="94" t="s">
        <v>28</v>
      </c>
      <c r="B139" s="95" t="s">
        <v>67</v>
      </c>
      <c r="C139" s="100"/>
      <c r="D139" s="100"/>
      <c r="E139" s="100"/>
      <c r="F139" s="100"/>
      <c r="G139" s="100"/>
      <c r="H139" s="100"/>
      <c r="I139" s="100"/>
      <c r="J139" s="101"/>
    </row>
    <row r="140" spans="1:10" x14ac:dyDescent="0.25">
      <c r="A140" s="94" t="s">
        <v>29</v>
      </c>
      <c r="B140" s="95" t="s">
        <v>68</v>
      </c>
      <c r="C140" s="100"/>
      <c r="D140" s="100"/>
      <c r="E140" s="100"/>
      <c r="F140" s="100"/>
      <c r="G140" s="100"/>
      <c r="H140" s="100"/>
      <c r="I140" s="100"/>
      <c r="J140" s="101"/>
    </row>
    <row r="141" spans="1:10" x14ac:dyDescent="0.25">
      <c r="A141" s="94" t="s">
        <v>30</v>
      </c>
      <c r="B141" s="95" t="s">
        <v>69</v>
      </c>
      <c r="C141" s="100"/>
      <c r="D141" s="100"/>
      <c r="E141" s="100"/>
      <c r="F141" s="100"/>
      <c r="G141" s="100"/>
      <c r="H141" s="100"/>
      <c r="I141" s="100"/>
      <c r="J141" s="101"/>
    </row>
    <row r="142" spans="1:10" x14ac:dyDescent="0.25">
      <c r="A142" s="94" t="s">
        <v>31</v>
      </c>
      <c r="B142" s="95" t="s">
        <v>70</v>
      </c>
      <c r="C142" s="100"/>
      <c r="D142" s="100"/>
      <c r="E142" s="100"/>
      <c r="F142" s="100"/>
      <c r="G142" s="100"/>
      <c r="H142" s="100"/>
      <c r="I142" s="100"/>
      <c r="J142" s="101"/>
    </row>
    <row r="143" spans="1:10" x14ac:dyDescent="0.25">
      <c r="A143" s="94" t="s">
        <v>32</v>
      </c>
      <c r="B143" s="95" t="s">
        <v>71</v>
      </c>
      <c r="C143" s="100"/>
      <c r="D143" s="100"/>
      <c r="E143" s="100"/>
      <c r="F143" s="100"/>
      <c r="G143" s="100"/>
      <c r="H143" s="100"/>
      <c r="I143" s="100"/>
      <c r="J143" s="101"/>
    </row>
    <row r="144" spans="1:10" x14ac:dyDescent="0.25">
      <c r="A144" s="94" t="s">
        <v>72</v>
      </c>
      <c r="B144" s="95" t="s">
        <v>73</v>
      </c>
      <c r="C144" s="100"/>
      <c r="D144" s="100"/>
      <c r="E144" s="100"/>
      <c r="F144" s="100"/>
      <c r="G144" s="100"/>
      <c r="H144" s="100"/>
      <c r="I144" s="100"/>
      <c r="J144" s="101"/>
    </row>
    <row r="145" spans="1:10" x14ac:dyDescent="0.25">
      <c r="A145" s="94" t="s">
        <v>74</v>
      </c>
      <c r="B145" s="95" t="s">
        <v>75</v>
      </c>
      <c r="C145" s="100"/>
      <c r="D145" s="100"/>
      <c r="E145" s="100"/>
      <c r="F145" s="100"/>
      <c r="G145" s="100"/>
      <c r="H145" s="100"/>
      <c r="I145" s="100"/>
      <c r="J145" s="101"/>
    </row>
    <row r="146" spans="1:10" x14ac:dyDescent="0.25">
      <c r="A146" s="94" t="s">
        <v>76</v>
      </c>
      <c r="B146" s="95" t="s">
        <v>77</v>
      </c>
      <c r="C146" s="100"/>
      <c r="D146" s="100"/>
      <c r="E146" s="100"/>
      <c r="F146" s="100"/>
      <c r="G146" s="100"/>
      <c r="H146" s="100"/>
      <c r="I146" s="100"/>
      <c r="J146" s="101"/>
    </row>
    <row r="147" spans="1:10" x14ac:dyDescent="0.25">
      <c r="A147" s="94" t="s">
        <v>36</v>
      </c>
      <c r="B147" s="95" t="s">
        <v>78</v>
      </c>
      <c r="C147" s="100"/>
      <c r="D147" s="100"/>
      <c r="E147" s="100"/>
      <c r="F147" s="100"/>
      <c r="G147" s="100"/>
      <c r="H147" s="100"/>
      <c r="I147" s="100"/>
      <c r="J147" s="101"/>
    </row>
    <row r="148" spans="1:10" x14ac:dyDescent="0.25">
      <c r="A148" s="94" t="s">
        <v>37</v>
      </c>
      <c r="B148" s="95" t="s">
        <v>79</v>
      </c>
      <c r="C148" s="100"/>
      <c r="D148" s="100"/>
      <c r="E148" s="100"/>
      <c r="F148" s="100"/>
      <c r="G148" s="100"/>
      <c r="H148" s="100"/>
      <c r="I148" s="100"/>
      <c r="J148" s="101"/>
    </row>
    <row r="149" spans="1:10" x14ac:dyDescent="0.25">
      <c r="A149" s="94" t="s">
        <v>38</v>
      </c>
      <c r="B149" s="95" t="s">
        <v>80</v>
      </c>
      <c r="C149" s="100"/>
      <c r="D149" s="100"/>
      <c r="E149" s="100"/>
      <c r="F149" s="100"/>
      <c r="G149" s="100"/>
      <c r="H149" s="100"/>
      <c r="I149" s="100"/>
      <c r="J149" s="101"/>
    </row>
    <row r="150" spans="1:10" x14ac:dyDescent="0.25">
      <c r="A150" s="94" t="s">
        <v>39</v>
      </c>
      <c r="B150" s="95" t="s">
        <v>81</v>
      </c>
      <c r="C150" s="100"/>
      <c r="D150" s="100"/>
      <c r="E150" s="100"/>
      <c r="F150" s="100"/>
      <c r="G150" s="100"/>
      <c r="H150" s="100"/>
      <c r="I150" s="100"/>
      <c r="J150" s="101"/>
    </row>
    <row r="151" spans="1:10" x14ac:dyDescent="0.25">
      <c r="A151" s="94" t="s">
        <v>40</v>
      </c>
      <c r="B151" s="95" t="s">
        <v>82</v>
      </c>
      <c r="C151" s="100"/>
      <c r="D151" s="100"/>
      <c r="E151" s="100"/>
      <c r="F151" s="100"/>
      <c r="G151" s="100"/>
      <c r="H151" s="100"/>
      <c r="I151" s="100"/>
      <c r="J151" s="101"/>
    </row>
    <row r="152" spans="1:10" x14ac:dyDescent="0.25">
      <c r="A152" s="94" t="s">
        <v>41</v>
      </c>
      <c r="B152" s="95" t="s">
        <v>83</v>
      </c>
      <c r="C152" s="100"/>
      <c r="D152" s="100"/>
      <c r="E152" s="100"/>
      <c r="F152" s="100"/>
      <c r="G152" s="100"/>
      <c r="H152" s="100"/>
      <c r="I152" s="100"/>
      <c r="J152" s="101"/>
    </row>
    <row r="153" spans="1:10" x14ac:dyDescent="0.25">
      <c r="A153" s="94" t="s">
        <v>42</v>
      </c>
      <c r="B153" s="95" t="s">
        <v>84</v>
      </c>
      <c r="C153" s="100"/>
      <c r="D153" s="100"/>
      <c r="E153" s="100"/>
      <c r="F153" s="100"/>
      <c r="G153" s="100"/>
      <c r="H153" s="100"/>
      <c r="I153" s="100"/>
      <c r="J153" s="101"/>
    </row>
    <row r="154" spans="1:10" x14ac:dyDescent="0.25">
      <c r="A154" s="94" t="s">
        <v>43</v>
      </c>
      <c r="B154" s="95" t="s">
        <v>85</v>
      </c>
      <c r="C154" s="100"/>
      <c r="D154" s="100"/>
      <c r="E154" s="100"/>
      <c r="F154" s="100"/>
      <c r="G154" s="100"/>
      <c r="H154" s="100"/>
      <c r="I154" s="100"/>
      <c r="J154" s="101"/>
    </row>
    <row r="155" spans="1:10" x14ac:dyDescent="0.25">
      <c r="A155" s="94" t="s">
        <v>44</v>
      </c>
      <c r="B155" s="95" t="s">
        <v>86</v>
      </c>
      <c r="C155" s="100"/>
      <c r="D155" s="100"/>
      <c r="E155" s="100"/>
      <c r="F155" s="100"/>
      <c r="G155" s="100"/>
      <c r="H155" s="100"/>
      <c r="I155" s="100"/>
      <c r="J155" s="101"/>
    </row>
    <row r="156" spans="1:10" x14ac:dyDescent="0.25">
      <c r="A156" s="94" t="s">
        <v>45</v>
      </c>
      <c r="B156" s="95" t="s">
        <v>87</v>
      </c>
      <c r="C156" s="100"/>
      <c r="D156" s="100"/>
      <c r="E156" s="100"/>
      <c r="F156" s="100"/>
      <c r="G156" s="100"/>
      <c r="H156" s="100"/>
      <c r="I156" s="100"/>
      <c r="J156" s="101"/>
    </row>
    <row r="157" spans="1:10" x14ac:dyDescent="0.25">
      <c r="A157" s="94" t="s">
        <v>46</v>
      </c>
      <c r="B157" s="95" t="s">
        <v>88</v>
      </c>
      <c r="C157" s="100"/>
      <c r="D157" s="100"/>
      <c r="E157" s="100"/>
      <c r="F157" s="100"/>
      <c r="G157" s="100"/>
      <c r="H157" s="100"/>
      <c r="I157" s="100"/>
      <c r="J157" s="101"/>
    </row>
    <row r="158" spans="1:10" x14ac:dyDescent="0.25">
      <c r="A158" s="94" t="s">
        <v>47</v>
      </c>
      <c r="B158" s="95" t="s">
        <v>89</v>
      </c>
      <c r="C158" s="102"/>
      <c r="D158" s="102"/>
      <c r="E158" s="102"/>
      <c r="F158" s="102"/>
      <c r="G158" s="102"/>
      <c r="H158" s="102"/>
      <c r="I158" s="102"/>
      <c r="J158" s="103"/>
    </row>
    <row r="159" spans="1:10" x14ac:dyDescent="0.25">
      <c r="A159" s="96"/>
      <c r="B159" s="96"/>
    </row>
    <row r="160" spans="1:10" x14ac:dyDescent="0.25">
      <c r="A160" s="97" t="s">
        <v>90</v>
      </c>
      <c r="B160" s="96"/>
    </row>
    <row r="161" spans="1:2" x14ac:dyDescent="0.25">
      <c r="A161" s="97" t="s">
        <v>91</v>
      </c>
      <c r="B161" s="96"/>
    </row>
  </sheetData>
  <mergeCells count="4">
    <mergeCell ref="A2:M2"/>
    <mergeCell ref="A44:M44"/>
    <mergeCell ref="A86:M86"/>
    <mergeCell ref="A126:J126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Elson Augusto L Souza</dc:creator>
  <cp:lastModifiedBy>Elson Augusto L Souza</cp:lastModifiedBy>
  <dcterms:created xsi:type="dcterms:W3CDTF">2026-05-19T13:31:03Z</dcterms:created>
  <dcterms:modified xsi:type="dcterms:W3CDTF">2026-05-19T13:33:49Z</dcterms:modified>
</cp:coreProperties>
</file>