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V:\TROCAS\1 PERMANENTE\Para Wesley\"/>
    </mc:Choice>
  </mc:AlternateContent>
  <xr:revisionPtr revIDLastSave="0" documentId="13_ncr:1_{868A2E24-540E-46F5-9199-12DB1D786E34}" xr6:coauthVersionLast="47" xr6:coauthVersionMax="47" xr10:uidLastSave="{00000000-0000-0000-0000-000000000000}"/>
  <bookViews>
    <workbookView xWindow="-120" yWindow="-120" windowWidth="29040" windowHeight="15720" xr2:uid="{46CC4876-8C5C-4B29-B237-D939D0007AD6}"/>
  </bookViews>
  <sheets>
    <sheet name="2025" sheetId="4" r:id="rId1"/>
    <sheet name="Notas explicativa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'2025'!$A$1:$N$41</definedName>
    <definedName name="Demanda_Total">OFFSET('[1]2007'!$B$31,0,0,12,1)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4" l="1"/>
  <c r="D69" i="4"/>
  <c r="D67" i="4"/>
  <c r="D65" i="4"/>
  <c r="D63" i="4"/>
  <c r="D62" i="4"/>
  <c r="D29" i="4"/>
  <c r="D27" i="4"/>
  <c r="D25" i="4"/>
  <c r="D23" i="4"/>
  <c r="D21" i="4"/>
  <c r="D30" i="4"/>
  <c r="D28" i="4"/>
  <c r="D26" i="4"/>
  <c r="D24" i="4"/>
  <c r="D22" i="4"/>
  <c r="D20" i="4"/>
  <c r="D19" i="4"/>
  <c r="C71" i="4" l="1"/>
  <c r="C69" i="4"/>
  <c r="C67" i="4"/>
  <c r="C65" i="4"/>
  <c r="C64" i="4"/>
  <c r="C63" i="4"/>
  <c r="C62" i="4"/>
  <c r="C30" i="4"/>
  <c r="C29" i="4"/>
  <c r="C28" i="4"/>
  <c r="C27" i="4"/>
  <c r="C26" i="4"/>
  <c r="C25" i="4"/>
  <c r="C24" i="4"/>
  <c r="C23" i="4"/>
  <c r="C22" i="4"/>
  <c r="C21" i="4"/>
  <c r="C20" i="4"/>
  <c r="C19" i="4"/>
  <c r="B71" i="4" l="1"/>
  <c r="B69" i="4"/>
  <c r="B67" i="4"/>
  <c r="B65" i="4"/>
  <c r="B63" i="4"/>
  <c r="B62" i="4"/>
  <c r="C60" i="4"/>
  <c r="D60" i="4"/>
  <c r="B18" i="4"/>
  <c r="C18" i="4"/>
  <c r="D18" i="4"/>
  <c r="B25" i="4"/>
  <c r="B27" i="4"/>
  <c r="B29" i="4"/>
  <c r="B23" i="4"/>
  <c r="B21" i="4"/>
  <c r="B20" i="4"/>
  <c r="B60" i="4" l="1"/>
  <c r="D112" i="4" l="1"/>
  <c r="D72" i="4"/>
  <c r="D70" i="4"/>
  <c r="D68" i="4"/>
  <c r="D66" i="4"/>
  <c r="D64" i="4"/>
  <c r="D61" i="4"/>
  <c r="C112" i="4" l="1"/>
  <c r="C72" i="4"/>
  <c r="C70" i="4"/>
  <c r="C68" i="4"/>
  <c r="C66" i="4"/>
  <c r="C61" i="4"/>
  <c r="B72" i="4" l="1"/>
  <c r="B70" i="4"/>
  <c r="B68" i="4"/>
  <c r="B66" i="4"/>
  <c r="B64" i="4"/>
  <c r="B61" i="4"/>
  <c r="B19" i="4"/>
  <c r="B22" i="4"/>
  <c r="B24" i="4"/>
  <c r="B26" i="4"/>
  <c r="B28" i="4"/>
  <c r="B30" i="4"/>
  <c r="D114" i="4" l="1"/>
  <c r="B114" i="4"/>
  <c r="C114" i="4"/>
  <c r="D110" i="4"/>
  <c r="C110" i="4"/>
  <c r="B110" i="4"/>
  <c r="D108" i="4"/>
  <c r="C108" i="4"/>
  <c r="B108" i="4"/>
  <c r="D106" i="4"/>
  <c r="B106" i="4"/>
  <c r="C106" i="4"/>
  <c r="D103" i="4"/>
  <c r="C10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47" i="4"/>
  <c r="D40" i="4"/>
  <c r="C40" i="4"/>
  <c r="D39" i="4"/>
  <c r="C39" i="4"/>
  <c r="D38" i="4"/>
  <c r="C38" i="4"/>
  <c r="D37" i="4"/>
  <c r="C37" i="4"/>
  <c r="D36" i="4"/>
  <c r="C36" i="4"/>
  <c r="B36" i="4"/>
  <c r="D35" i="4"/>
  <c r="B35" i="4"/>
  <c r="C35" i="4"/>
  <c r="D34" i="4"/>
  <c r="C34" i="4"/>
  <c r="D33" i="4"/>
  <c r="C33" i="4"/>
  <c r="D32" i="4"/>
  <c r="C32" i="4"/>
  <c r="D58" i="4"/>
  <c r="C58" i="4"/>
  <c r="D57" i="4"/>
  <c r="C57" i="4"/>
  <c r="D16" i="4"/>
  <c r="C16" i="4"/>
  <c r="D15" i="4"/>
  <c r="C15" i="4"/>
  <c r="D52" i="4"/>
  <c r="D10" i="4"/>
  <c r="C52" i="4" l="1"/>
  <c r="C10" i="4"/>
  <c r="C47" i="4" l="1"/>
  <c r="D48" i="4"/>
  <c r="D49" i="4" s="1"/>
  <c r="D50" i="4" s="1"/>
  <c r="D6" i="4"/>
  <c r="C48" i="4"/>
  <c r="C6" i="4"/>
  <c r="D5" i="4"/>
  <c r="B82" i="4"/>
  <c r="B124" i="4" s="1"/>
  <c r="B77" i="4"/>
  <c r="B75" i="4"/>
  <c r="N75" i="4" s="1"/>
  <c r="B74" i="4"/>
  <c r="B33" i="4"/>
  <c r="B32" i="4"/>
  <c r="B31" i="4" s="1"/>
  <c r="B58" i="4"/>
  <c r="B57" i="4"/>
  <c r="B46" i="4" s="1"/>
  <c r="B16" i="4"/>
  <c r="B15" i="4"/>
  <c r="B17" i="4" s="1"/>
  <c r="N76" i="4"/>
  <c r="F60" i="4"/>
  <c r="M18" i="4"/>
  <c r="N44" i="4"/>
  <c r="M124" i="4"/>
  <c r="L124" i="4"/>
  <c r="K124" i="4"/>
  <c r="J124" i="4"/>
  <c r="I124" i="4"/>
  <c r="H124" i="4"/>
  <c r="G124" i="4"/>
  <c r="F124" i="4"/>
  <c r="E124" i="4"/>
  <c r="D124" i="4"/>
  <c r="C124" i="4"/>
  <c r="A124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122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M119" i="4"/>
  <c r="L119" i="4"/>
  <c r="K119" i="4"/>
  <c r="J119" i="4"/>
  <c r="I119" i="4"/>
  <c r="H119" i="4"/>
  <c r="G119" i="4"/>
  <c r="F119" i="4"/>
  <c r="E119" i="4"/>
  <c r="D119" i="4"/>
  <c r="A119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M117" i="4"/>
  <c r="L117" i="4"/>
  <c r="K117" i="4"/>
  <c r="J117" i="4"/>
  <c r="I117" i="4"/>
  <c r="H117" i="4"/>
  <c r="G117" i="4"/>
  <c r="F117" i="4"/>
  <c r="E117" i="4"/>
  <c r="D117" i="4"/>
  <c r="A117" i="4"/>
  <c r="M116" i="4"/>
  <c r="L116" i="4"/>
  <c r="K116" i="4"/>
  <c r="J116" i="4"/>
  <c r="I116" i="4"/>
  <c r="H116" i="4"/>
  <c r="G116" i="4"/>
  <c r="F116" i="4"/>
  <c r="E116" i="4"/>
  <c r="D116" i="4"/>
  <c r="C116" i="4"/>
  <c r="A116" i="4"/>
  <c r="A115" i="4"/>
  <c r="N114" i="4"/>
  <c r="A114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113" i="4"/>
  <c r="N112" i="4"/>
  <c r="A112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111" i="4"/>
  <c r="N110" i="4"/>
  <c r="A110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N108" i="4"/>
  <c r="A108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107" i="4"/>
  <c r="N106" i="4"/>
  <c r="A106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105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N103" i="4"/>
  <c r="A103" i="4"/>
  <c r="F102" i="4"/>
  <c r="A102" i="4"/>
  <c r="A101" i="4"/>
  <c r="M100" i="4"/>
  <c r="J100" i="4"/>
  <c r="B100" i="4"/>
  <c r="A100" i="4"/>
  <c r="M99" i="4"/>
  <c r="L99" i="4"/>
  <c r="K99" i="4"/>
  <c r="I99" i="4"/>
  <c r="H99" i="4"/>
  <c r="A99" i="4"/>
  <c r="A98" i="4"/>
  <c r="A97" i="4"/>
  <c r="A96" i="4"/>
  <c r="A95" i="4"/>
  <c r="K94" i="4"/>
  <c r="G94" i="4"/>
  <c r="F94" i="4"/>
  <c r="B94" i="4"/>
  <c r="A94" i="4"/>
  <c r="A93" i="4"/>
  <c r="A92" i="4"/>
  <c r="A91" i="4"/>
  <c r="M90" i="4"/>
  <c r="L90" i="4"/>
  <c r="K90" i="4"/>
  <c r="J90" i="4"/>
  <c r="I90" i="4"/>
  <c r="H90" i="4"/>
  <c r="G90" i="4"/>
  <c r="F90" i="4"/>
  <c r="E90" i="4"/>
  <c r="C90" i="4"/>
  <c r="B90" i="4"/>
  <c r="A90" i="4"/>
  <c r="M89" i="4"/>
  <c r="M88" i="4" s="1"/>
  <c r="L89" i="4"/>
  <c r="K89" i="4"/>
  <c r="J89" i="4"/>
  <c r="I89" i="4"/>
  <c r="G89" i="4"/>
  <c r="F89" i="4"/>
  <c r="E89" i="4"/>
  <c r="D89" i="4"/>
  <c r="B89" i="4"/>
  <c r="A89" i="4"/>
  <c r="A88" i="4"/>
  <c r="N86" i="4"/>
  <c r="N82" i="4"/>
  <c r="A82" i="4"/>
  <c r="N81" i="4"/>
  <c r="A81" i="4"/>
  <c r="N80" i="4"/>
  <c r="A80" i="4"/>
  <c r="N79" i="4"/>
  <c r="A79" i="4"/>
  <c r="N78" i="4"/>
  <c r="A78" i="4"/>
  <c r="A77" i="4"/>
  <c r="A76" i="4"/>
  <c r="A75" i="4"/>
  <c r="A74" i="4"/>
  <c r="M73" i="4"/>
  <c r="M55" i="4" s="1"/>
  <c r="L73" i="4"/>
  <c r="L55" i="4" s="1"/>
  <c r="K73" i="4"/>
  <c r="K55" i="4" s="1"/>
  <c r="J73" i="4"/>
  <c r="J56" i="4" s="1"/>
  <c r="I73" i="4"/>
  <c r="I56" i="4" s="1"/>
  <c r="H73" i="4"/>
  <c r="H55" i="4" s="1"/>
  <c r="G73" i="4"/>
  <c r="G56" i="4" s="1"/>
  <c r="F73" i="4"/>
  <c r="F56" i="4" s="1"/>
  <c r="E73" i="4"/>
  <c r="E55" i="4" s="1"/>
  <c r="D73" i="4"/>
  <c r="D56" i="4" s="1"/>
  <c r="A73" i="4"/>
  <c r="N72" i="4"/>
  <c r="A72" i="4"/>
  <c r="N71" i="4"/>
  <c r="A71" i="4"/>
  <c r="N70" i="4"/>
  <c r="A70" i="4"/>
  <c r="N69" i="4"/>
  <c r="A69" i="4"/>
  <c r="N68" i="4"/>
  <c r="A68" i="4"/>
  <c r="N67" i="4"/>
  <c r="A67" i="4"/>
  <c r="N66" i="4"/>
  <c r="A66" i="4"/>
  <c r="N65" i="4"/>
  <c r="A65" i="4"/>
  <c r="N64" i="4"/>
  <c r="A64" i="4"/>
  <c r="N63" i="4"/>
  <c r="A63" i="4"/>
  <c r="N62" i="4"/>
  <c r="A62" i="4"/>
  <c r="N61" i="4"/>
  <c r="A61" i="4"/>
  <c r="M60" i="4"/>
  <c r="M102" i="4" s="1"/>
  <c r="L60" i="4"/>
  <c r="K60" i="4"/>
  <c r="J60" i="4"/>
  <c r="I60" i="4"/>
  <c r="H60" i="4"/>
  <c r="G60" i="4"/>
  <c r="E60" i="4"/>
  <c r="A60" i="4"/>
  <c r="L59" i="4"/>
  <c r="I59" i="4"/>
  <c r="H59" i="4"/>
  <c r="G59" i="4"/>
  <c r="F59" i="4"/>
  <c r="E59" i="4"/>
  <c r="D59" i="4"/>
  <c r="C59" i="4"/>
  <c r="A59" i="4"/>
  <c r="E56" i="4"/>
  <c r="N58" i="4"/>
  <c r="A58" i="4"/>
  <c r="M59" i="4"/>
  <c r="L46" i="4"/>
  <c r="K46" i="4"/>
  <c r="C46" i="4"/>
  <c r="A57" i="4"/>
  <c r="H56" i="4"/>
  <c r="A56" i="4"/>
  <c r="A55" i="4"/>
  <c r="A54" i="4"/>
  <c r="J53" i="4"/>
  <c r="J54" i="4" s="1"/>
  <c r="A53" i="4"/>
  <c r="H94" i="4"/>
  <c r="A52" i="4"/>
  <c r="A51" i="4"/>
  <c r="L50" i="4"/>
  <c r="A50" i="4"/>
  <c r="M49" i="4"/>
  <c r="M50" i="4" s="1"/>
  <c r="L49" i="4"/>
  <c r="K49" i="4"/>
  <c r="K50" i="4" s="1"/>
  <c r="J49" i="4"/>
  <c r="J50" i="4" s="1"/>
  <c r="J51" i="4" s="1"/>
  <c r="I49" i="4"/>
  <c r="I50" i="4" s="1"/>
  <c r="I51" i="4" s="1"/>
  <c r="H49" i="4"/>
  <c r="H50" i="4" s="1"/>
  <c r="H51" i="4" s="1"/>
  <c r="G49" i="4"/>
  <c r="G50" i="4" s="1"/>
  <c r="G51" i="4" s="1"/>
  <c r="F49" i="4"/>
  <c r="F50" i="4" s="1"/>
  <c r="F51" i="4" s="1"/>
  <c r="F53" i="4" s="1"/>
  <c r="F54" i="4" s="1"/>
  <c r="E49" i="4"/>
  <c r="E50" i="4" s="1"/>
  <c r="E51" i="4" s="1"/>
  <c r="E53" i="4" s="1"/>
  <c r="E54" i="4" s="1"/>
  <c r="C49" i="4"/>
  <c r="C50" i="4" s="1"/>
  <c r="C51" i="4" s="1"/>
  <c r="B49" i="4"/>
  <c r="A49" i="4"/>
  <c r="A48" i="4"/>
  <c r="N47" i="4"/>
  <c r="H89" i="4"/>
  <c r="A47" i="4"/>
  <c r="M46" i="4"/>
  <c r="I46" i="4"/>
  <c r="G46" i="4"/>
  <c r="F46" i="4"/>
  <c r="E46" i="4"/>
  <c r="A46" i="4"/>
  <c r="N40" i="4"/>
  <c r="N39" i="4"/>
  <c r="N38" i="4"/>
  <c r="N37" i="4"/>
  <c r="N36" i="4"/>
  <c r="C119" i="4"/>
  <c r="N34" i="4"/>
  <c r="C117" i="4"/>
  <c r="M31" i="4"/>
  <c r="L31" i="4"/>
  <c r="L14" i="4" s="1"/>
  <c r="K31" i="4"/>
  <c r="J31" i="4"/>
  <c r="I31" i="4"/>
  <c r="H31" i="4"/>
  <c r="G31" i="4"/>
  <c r="F31" i="4"/>
  <c r="E31" i="4"/>
  <c r="E115" i="4" s="1"/>
  <c r="D31" i="4"/>
  <c r="N30" i="4"/>
  <c r="N29" i="4"/>
  <c r="N28" i="4"/>
  <c r="N27" i="4"/>
  <c r="N26" i="4"/>
  <c r="N25" i="4"/>
  <c r="N24" i="4"/>
  <c r="N23" i="4"/>
  <c r="N22" i="4"/>
  <c r="N21" i="4"/>
  <c r="N20" i="4"/>
  <c r="N19" i="4"/>
  <c r="L18" i="4"/>
  <c r="L102" i="4" s="1"/>
  <c r="K18" i="4"/>
  <c r="J18" i="4"/>
  <c r="I18" i="4"/>
  <c r="H18" i="4"/>
  <c r="G18" i="4"/>
  <c r="F18" i="4"/>
  <c r="E18" i="4"/>
  <c r="J17" i="4"/>
  <c r="I17" i="4"/>
  <c r="G17" i="4"/>
  <c r="F17" i="4"/>
  <c r="E17" i="4"/>
  <c r="K100" i="4"/>
  <c r="I100" i="4"/>
  <c r="H100" i="4"/>
  <c r="G100" i="4"/>
  <c r="E100" i="4"/>
  <c r="D100" i="4"/>
  <c r="C100" i="4"/>
  <c r="N16" i="4"/>
  <c r="M17" i="4"/>
  <c r="L4" i="4"/>
  <c r="H17" i="4"/>
  <c r="G99" i="4"/>
  <c r="G101" i="4" s="1"/>
  <c r="F99" i="4"/>
  <c r="F101" i="4" s="1"/>
  <c r="E99" i="4"/>
  <c r="M14" i="4"/>
  <c r="M94" i="4"/>
  <c r="L94" i="4"/>
  <c r="J94" i="4"/>
  <c r="I94" i="4"/>
  <c r="D94" i="4"/>
  <c r="G8" i="4"/>
  <c r="B8" i="4"/>
  <c r="B9" i="4" s="1"/>
  <c r="M7" i="4"/>
  <c r="M8" i="4" s="1"/>
  <c r="M9" i="4" s="1"/>
  <c r="L7" i="4"/>
  <c r="L8" i="4" s="1"/>
  <c r="L9" i="4" s="1"/>
  <c r="K7" i="4"/>
  <c r="K8" i="4" s="1"/>
  <c r="J7" i="4"/>
  <c r="J8" i="4" s="1"/>
  <c r="I7" i="4"/>
  <c r="H7" i="4"/>
  <c r="H8" i="4" s="1"/>
  <c r="G7" i="4"/>
  <c r="F7" i="4"/>
  <c r="E7" i="4"/>
  <c r="E8" i="4" s="1"/>
  <c r="D7" i="4"/>
  <c r="C7" i="4"/>
  <c r="B7" i="4"/>
  <c r="N6" i="4"/>
  <c r="K4" i="4"/>
  <c r="J4" i="4"/>
  <c r="I4" i="4"/>
  <c r="H4" i="4"/>
  <c r="G4" i="4"/>
  <c r="F4" i="4"/>
  <c r="E4" i="4"/>
  <c r="K56" i="4" l="1"/>
  <c r="F91" i="4"/>
  <c r="G91" i="4"/>
  <c r="H101" i="4"/>
  <c r="K91" i="4"/>
  <c r="I101" i="4"/>
  <c r="L88" i="4"/>
  <c r="L91" i="4"/>
  <c r="B4" i="4"/>
  <c r="I91" i="4"/>
  <c r="J92" i="4"/>
  <c r="M91" i="4"/>
  <c r="L101" i="4"/>
  <c r="D55" i="4"/>
  <c r="N124" i="4"/>
  <c r="N48" i="4"/>
  <c r="D90" i="4"/>
  <c r="N90" i="4" s="1"/>
  <c r="N49" i="4"/>
  <c r="N32" i="4"/>
  <c r="B116" i="4"/>
  <c r="N116" i="4" s="1"/>
  <c r="B59" i="4"/>
  <c r="N57" i="4"/>
  <c r="N46" i="4" s="1"/>
  <c r="B99" i="4"/>
  <c r="B88" i="4" s="1"/>
  <c r="F115" i="4"/>
  <c r="F97" i="4" s="1"/>
  <c r="H115" i="4"/>
  <c r="H98" i="4" s="1"/>
  <c r="I115" i="4"/>
  <c r="I97" i="4" s="1"/>
  <c r="F55" i="4"/>
  <c r="K115" i="4"/>
  <c r="K97" i="4" s="1"/>
  <c r="G55" i="4"/>
  <c r="I55" i="4"/>
  <c r="M115" i="4"/>
  <c r="M97" i="4" s="1"/>
  <c r="J55" i="4"/>
  <c r="N60" i="4"/>
  <c r="B102" i="4"/>
  <c r="M101" i="4"/>
  <c r="D102" i="4"/>
  <c r="E102" i="4"/>
  <c r="G102" i="4"/>
  <c r="H102" i="4"/>
  <c r="J102" i="4"/>
  <c r="E91" i="4"/>
  <c r="N120" i="4"/>
  <c r="N122" i="4"/>
  <c r="N121" i="4"/>
  <c r="E13" i="4"/>
  <c r="F13" i="4"/>
  <c r="H13" i="4"/>
  <c r="I13" i="4"/>
  <c r="E14" i="4"/>
  <c r="H14" i="4"/>
  <c r="I14" i="4"/>
  <c r="K14" i="4"/>
  <c r="N104" i="4"/>
  <c r="K102" i="4"/>
  <c r="N111" i="4"/>
  <c r="E101" i="4"/>
  <c r="H88" i="4"/>
  <c r="I88" i="4"/>
  <c r="H97" i="4"/>
  <c r="I8" i="4"/>
  <c r="I9" i="4" s="1"/>
  <c r="I93" i="4" s="1"/>
  <c r="M92" i="4"/>
  <c r="M98" i="4"/>
  <c r="D99" i="4"/>
  <c r="D101" i="4" s="1"/>
  <c r="D4" i="4"/>
  <c r="L51" i="4"/>
  <c r="L93" i="4" s="1"/>
  <c r="J46" i="4"/>
  <c r="J59" i="4"/>
  <c r="J99" i="4"/>
  <c r="N74" i="4"/>
  <c r="C73" i="4"/>
  <c r="J9" i="4"/>
  <c r="J93" i="4" s="1"/>
  <c r="C53" i="4"/>
  <c r="C54" i="4" s="1"/>
  <c r="C8" i="4"/>
  <c r="C91" i="4"/>
  <c r="N7" i="4"/>
  <c r="J115" i="4"/>
  <c r="J14" i="4"/>
  <c r="H9" i="4"/>
  <c r="H92" i="4"/>
  <c r="B11" i="4"/>
  <c r="J13" i="4"/>
  <c r="L100" i="4"/>
  <c r="M13" i="4"/>
  <c r="I102" i="4"/>
  <c r="C102" i="4"/>
  <c r="N118" i="4"/>
  <c r="N123" i="4"/>
  <c r="J91" i="4"/>
  <c r="K17" i="4"/>
  <c r="K13" i="4"/>
  <c r="N33" i="4"/>
  <c r="B117" i="4"/>
  <c r="N117" i="4" s="1"/>
  <c r="K51" i="4"/>
  <c r="K53" i="4"/>
  <c r="K54" i="4" s="1"/>
  <c r="G53" i="4"/>
  <c r="G54" i="4" s="1"/>
  <c r="B13" i="4"/>
  <c r="B14" i="4"/>
  <c r="N52" i="4"/>
  <c r="N10" i="4"/>
  <c r="D17" i="4"/>
  <c r="C31" i="4"/>
  <c r="N31" i="4" s="1"/>
  <c r="H46" i="4"/>
  <c r="H53" i="4"/>
  <c r="H54" i="4" s="1"/>
  <c r="M51" i="4"/>
  <c r="M93" i="4" s="1"/>
  <c r="M53" i="4"/>
  <c r="M54" i="4" s="1"/>
  <c r="L56" i="4"/>
  <c r="K101" i="4"/>
  <c r="K88" i="4"/>
  <c r="N113" i="4"/>
  <c r="E98" i="4"/>
  <c r="E97" i="4"/>
  <c r="K9" i="4"/>
  <c r="K92" i="4"/>
  <c r="L11" i="4"/>
  <c r="L92" i="4"/>
  <c r="N18" i="4"/>
  <c r="C99" i="4"/>
  <c r="C17" i="4"/>
  <c r="D8" i="4"/>
  <c r="D91" i="4"/>
  <c r="C94" i="4"/>
  <c r="N94" i="4" s="1"/>
  <c r="B119" i="4"/>
  <c r="N119" i="4" s="1"/>
  <c r="B73" i="4"/>
  <c r="N77" i="4"/>
  <c r="E88" i="4"/>
  <c r="N109" i="4"/>
  <c r="M11" i="4"/>
  <c r="N15" i="4"/>
  <c r="D13" i="4"/>
  <c r="M56" i="4"/>
  <c r="F8" i="4"/>
  <c r="E94" i="4"/>
  <c r="D51" i="4"/>
  <c r="D53" i="4" s="1"/>
  <c r="D54" i="4" s="1"/>
  <c r="F88" i="4"/>
  <c r="H91" i="4"/>
  <c r="N107" i="4"/>
  <c r="L115" i="4"/>
  <c r="G9" i="4"/>
  <c r="G93" i="4" s="1"/>
  <c r="G92" i="4"/>
  <c r="G14" i="4"/>
  <c r="G88" i="4"/>
  <c r="N105" i="4"/>
  <c r="F14" i="4"/>
  <c r="F100" i="4"/>
  <c r="E9" i="4"/>
  <c r="E93" i="4" s="1"/>
  <c r="E92" i="4"/>
  <c r="B101" i="4"/>
  <c r="B91" i="4"/>
  <c r="B50" i="4"/>
  <c r="G13" i="4"/>
  <c r="L13" i="4"/>
  <c r="D46" i="4"/>
  <c r="I53" i="4"/>
  <c r="I54" i="4" s="1"/>
  <c r="D115" i="4"/>
  <c r="M4" i="4"/>
  <c r="L17" i="4"/>
  <c r="G115" i="4"/>
  <c r="D14" i="4"/>
  <c r="K59" i="4"/>
  <c r="N35" i="4"/>
  <c r="I92" i="4" l="1"/>
  <c r="E11" i="4"/>
  <c r="E12" i="4" s="1"/>
  <c r="E96" i="4" s="1"/>
  <c r="L53" i="4"/>
  <c r="L54" i="4" s="1"/>
  <c r="I11" i="4"/>
  <c r="N17" i="4"/>
  <c r="N59" i="4"/>
  <c r="I98" i="4"/>
  <c r="K98" i="4"/>
  <c r="D88" i="4"/>
  <c r="K93" i="4"/>
  <c r="K11" i="4"/>
  <c r="K95" i="4" s="1"/>
  <c r="L12" i="4"/>
  <c r="N91" i="4"/>
  <c r="J101" i="4"/>
  <c r="J88" i="4"/>
  <c r="N99" i="4"/>
  <c r="L98" i="4"/>
  <c r="L97" i="4"/>
  <c r="B55" i="4"/>
  <c r="B56" i="4"/>
  <c r="N73" i="4"/>
  <c r="J11" i="4"/>
  <c r="I95" i="4"/>
  <c r="I12" i="4"/>
  <c r="I96" i="4" s="1"/>
  <c r="B12" i="4"/>
  <c r="H93" i="4"/>
  <c r="H11" i="4"/>
  <c r="G98" i="4"/>
  <c r="G97" i="4"/>
  <c r="D92" i="4"/>
  <c r="D9" i="4"/>
  <c r="D93" i="4" s="1"/>
  <c r="J97" i="4"/>
  <c r="J98" i="4"/>
  <c r="N14" i="4"/>
  <c r="N13" i="4"/>
  <c r="D98" i="4"/>
  <c r="D97" i="4"/>
  <c r="N100" i="4"/>
  <c r="F98" i="4"/>
  <c r="F9" i="4"/>
  <c r="F93" i="4" s="1"/>
  <c r="F92" i="4"/>
  <c r="F11" i="4"/>
  <c r="C101" i="4"/>
  <c r="N101" i="4" s="1"/>
  <c r="C13" i="4"/>
  <c r="C14" i="4"/>
  <c r="C115" i="4"/>
  <c r="C92" i="4"/>
  <c r="C9" i="4"/>
  <c r="N8" i="4"/>
  <c r="G11" i="4"/>
  <c r="M95" i="4"/>
  <c r="M12" i="4"/>
  <c r="M96" i="4" s="1"/>
  <c r="B115" i="4"/>
  <c r="N50" i="4"/>
  <c r="B92" i="4"/>
  <c r="B51" i="4"/>
  <c r="B53" i="4"/>
  <c r="N102" i="4"/>
  <c r="C55" i="4"/>
  <c r="C56" i="4"/>
  <c r="E95" i="4" l="1"/>
  <c r="L96" i="4"/>
  <c r="L95" i="4"/>
  <c r="D11" i="4"/>
  <c r="D12" i="4" s="1"/>
  <c r="D96" i="4" s="1"/>
  <c r="K12" i="4"/>
  <c r="K96" i="4" s="1"/>
  <c r="C93" i="4"/>
  <c r="N9" i="4"/>
  <c r="N51" i="4"/>
  <c r="B93" i="4"/>
  <c r="N93" i="4" s="1"/>
  <c r="C97" i="4"/>
  <c r="C98" i="4"/>
  <c r="J95" i="4"/>
  <c r="J12" i="4"/>
  <c r="J96" i="4" s="1"/>
  <c r="N56" i="4"/>
  <c r="N55" i="4"/>
  <c r="B54" i="4"/>
  <c r="N54" i="4" s="1"/>
  <c r="N53" i="4"/>
  <c r="F95" i="4"/>
  <c r="F12" i="4"/>
  <c r="F96" i="4" s="1"/>
  <c r="N92" i="4"/>
  <c r="H12" i="4"/>
  <c r="H96" i="4" s="1"/>
  <c r="H95" i="4"/>
  <c r="B97" i="4"/>
  <c r="B98" i="4"/>
  <c r="N115" i="4"/>
  <c r="B95" i="4"/>
  <c r="G95" i="4"/>
  <c r="G12" i="4"/>
  <c r="G96" i="4" s="1"/>
  <c r="D95" i="4" l="1"/>
  <c r="N97" i="4"/>
  <c r="N98" i="4"/>
  <c r="B96" i="4"/>
  <c r="C5" i="4" l="1"/>
  <c r="C89" i="4" l="1"/>
  <c r="N5" i="4"/>
  <c r="N4" i="4" s="1"/>
  <c r="C4" i="4"/>
  <c r="C11" i="4"/>
  <c r="N89" i="4" l="1"/>
  <c r="N88" i="4" s="1"/>
  <c r="C88" i="4"/>
  <c r="C95" i="4"/>
  <c r="N95" i="4" s="1"/>
  <c r="C12" i="4"/>
  <c r="N11" i="4"/>
  <c r="C96" i="4" l="1"/>
  <c r="N96" i="4" s="1"/>
  <c r="N12" i="4"/>
</calcChain>
</file>

<file path=xl/sharedStrings.xml><?xml version="1.0" encoding="utf-8"?>
<sst xmlns="http://schemas.openxmlformats.org/spreadsheetml/2006/main" count="151" uniqueCount="93">
  <si>
    <t>Componentes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</si>
  <si>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</si>
  <si>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</si>
  <si>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</si>
  <si>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</si>
  <si>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</si>
  <si>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</si>
  <si>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</si>
  <si>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</si>
  <si>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</si>
  <si>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</si>
  <si>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</si>
  <si>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</si>
  <si>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</si>
  <si>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Custo Por KM  (R$/km)</t>
  </si>
  <si>
    <t>Custo Total   (R$)</t>
  </si>
  <si>
    <t>Passageiro por Viagem</t>
  </si>
  <si>
    <t>Km Remunerada</t>
  </si>
  <si>
    <t>Viagens Remuneradas</t>
  </si>
  <si>
    <t>Frota Total</t>
  </si>
  <si>
    <t>Frota Operante</t>
  </si>
  <si>
    <t>Padron Elétrico</t>
  </si>
  <si>
    <t>Demanda Total</t>
  </si>
  <si>
    <t>Passe Escolar (50%)</t>
  </si>
  <si>
    <t xml:space="preserve">Vale Especial </t>
  </si>
  <si>
    <t>Idoso Gratuito</t>
  </si>
  <si>
    <t>Integrado</t>
  </si>
  <si>
    <t>Passe Livre (Gratuito)</t>
  </si>
  <si>
    <t>Dados Gerais do Sistema Transcol</t>
  </si>
  <si>
    <t>Deficiente Gratuito (100%)</t>
  </si>
  <si>
    <t xml:space="preserve">Idade Média </t>
  </si>
  <si>
    <t>Dados Gerais Consórcio Sudoeste</t>
  </si>
  <si>
    <t>Vale Transporte</t>
  </si>
  <si>
    <t>Escolar Gratuito (100%)</t>
  </si>
  <si>
    <t>Cartão Cidadão</t>
  </si>
  <si>
    <t>Dados Gerais - Consórcio Atlântico Sul</t>
  </si>
  <si>
    <t>IPK - Índice de passageiro por km</t>
  </si>
  <si>
    <t>P.M.M - Percurso Médio Mensal</t>
  </si>
  <si>
    <t>Gerenciamento CETURB (5% da receita) (R$)</t>
  </si>
  <si>
    <t>Receitas Acessórias (R$)</t>
  </si>
  <si>
    <t>% Evasão da receita (2,64%) (R$)</t>
  </si>
  <si>
    <t>Valor definido pela quilometragem rodada multiplicado pelo preço/custo/km;</t>
  </si>
  <si>
    <t>Receita que fica com cada Consórcio após rateio pela participação de seu custo no custo total dos sistema;</t>
  </si>
  <si>
    <t>Percentual definido em lei, a ser repassado à CETURB-GV, para gestão dos serviços;</t>
  </si>
  <si>
    <t>Receitas acessórias ou alternativas, previstas em contrato;</t>
  </si>
  <si>
    <t>Número médio de passageiros transportados por viagem;</t>
  </si>
  <si>
    <t>Quilometragem adotada no cálculo do custo total, formada pela km realizada acrescida da km autorizada;</t>
  </si>
  <si>
    <t>Representa a frota operante mais a reserva técnica, que pode ser de até 10% da frota operante;</t>
  </si>
  <si>
    <t>Frota necessária para cumprir as viagens definidas nas ordens de serviço;</t>
  </si>
  <si>
    <t xml:space="preserve">Veículo Convencional   </t>
  </si>
  <si>
    <t>Veículo Articulado</t>
  </si>
  <si>
    <t xml:space="preserve"> Microônibus</t>
  </si>
  <si>
    <t>Tipo de veículo mais utilizado no TRANSCOL, formada por veículos com e sem ar condicionado;</t>
  </si>
  <si>
    <t>Veículos conhecidos como "minhocão" ou "sanfonado", usado em linhas de maior fluxo de demanda;</t>
  </si>
  <si>
    <t>Veículos de menor porte, usado em linhas onde os veículos convencionais tem dificuldade de rodar, como morros por exemplo;</t>
  </si>
  <si>
    <t>Veículos movidos a eletricidade, apresentando maior nível de conforto e silêncio ao rodar, além de não emitir gases poluentes;</t>
  </si>
  <si>
    <t>Demanda total transportada no sistema, seja no mês ou ano;</t>
  </si>
  <si>
    <t>Passageiros que utilizam o cartão idoso para utilizarem o TRANSCOL, sem o pagamento das passagem;</t>
  </si>
  <si>
    <t>Passageiros que utilizam o cartão vale transporte para pagamento de passagem;</t>
  </si>
  <si>
    <t>Passageiros que utilizam o cartão cidadão para pagamento de passagem;</t>
  </si>
  <si>
    <t>Cartão utlizado por estudantes com benefício de gratuidade de 100% do valor da tarifa, concedido pela legislação vigente;</t>
  </si>
  <si>
    <t>Cartão utlizado por PCD's com benefício de gratuidade de 100% do valor da tarifa, concedido pela legislação vigente;</t>
  </si>
  <si>
    <t>Preço/km vencedor do processo licitatório, reajustado, anualmente, pelos critérios definidos em contrato;</t>
  </si>
  <si>
    <t>Índice de passageiros transportados por quilômetro rodado;</t>
  </si>
  <si>
    <t>Viagens realizadas em relação as programadas, acrescida das viagens autorizadas (de acordo com a necessidade operacional);</t>
  </si>
  <si>
    <t>Quilometragem média mensal  percorrida pela frota operante;</t>
  </si>
  <si>
    <t>Idade média ponderada da frota;</t>
  </si>
  <si>
    <t>Veículos utilizados para o transporte de pessoas com deficiência (PCD), por meio de agendamento de viagens;</t>
  </si>
  <si>
    <t>Cartão utlizado por estudantes com benefício de pagamento de 50% do valor da tarifa vigente;</t>
  </si>
  <si>
    <t>Usuários que utilizam mais de uma linha, sem a cobrança na segunda viagem, se esta ocorrer dentro de um limite de tempo parametrizado;</t>
  </si>
  <si>
    <t>Categoria de usuários que possuem algum benefício de gratuidade na utilização do transporte coletivo, prevista em legislação;</t>
  </si>
  <si>
    <t>Adquiridos por entidades filantrópicas e disponibilizados aos usuários de seus serviços, geralmente pessoas de baixa renda.</t>
  </si>
  <si>
    <t>DEFINIÇÃO DOS PRINCIPAIS ITENS DA PLANILHA DOS DADOS GERAIS</t>
  </si>
  <si>
    <t>Percentual que incide sobre a receita menos o gerenciamento, previsto no edital de licitação, medido por meio de pesquisa;</t>
  </si>
  <si>
    <t>Receita Arrecadada Efetiva (R$)</t>
  </si>
  <si>
    <t>Receita Efetiva Líquida(R$)</t>
  </si>
  <si>
    <t>(1) Custo Total   (R$)</t>
  </si>
  <si>
    <t>(2) Receita Efetiva Líquida(R$)</t>
  </si>
  <si>
    <t>(3) % Evasão da receita (2,64%) (R$)</t>
  </si>
  <si>
    <t>(4) Receitas Acessórias (R$)</t>
  </si>
  <si>
    <t>Receita de cada Consórcio, descontando o gerenciamento repassado ao órgão gestor;</t>
  </si>
  <si>
    <t>Subsídio (R$)</t>
  </si>
  <si>
    <t xml:space="preserve">Convencional   </t>
  </si>
  <si>
    <t>Articulado</t>
  </si>
  <si>
    <t>Micro</t>
  </si>
  <si>
    <t>Micro Transcol +Acessível</t>
  </si>
  <si>
    <t>Valor repassado aos Consórcios, resultado da diferença entre o custo total menos a receita efetiva líquida, a evasão e as receitas acessórias;</t>
  </si>
  <si>
    <t>Subsídio Tarifário = (1)-(2)-(3)-(4) (R$)</t>
  </si>
  <si>
    <t>Gerenciamento CETURB (5% do subsídio) (R$)</t>
  </si>
  <si>
    <t>com a tarifa usuário como na parcela de subsídio repassado pelo Estado, que complementa a receita necessária para cobrir os custos operacionais.</t>
  </si>
  <si>
    <t xml:space="preserve">Obs: Considerando que o gerenciamento incide sobre o valor da tarifa técnica de remuneração dos serviços.  O percentual de 5% do gerenciamento deve incidir tanto na receita arrecadada </t>
  </si>
  <si>
    <t>Ano:2025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</si>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</sst>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#,##0.0000_);[Red]\(#,##0.0000\)"/>
    <numFmt numFmtId="167" formatCode="_(* #,##0.0000_);_(* \(#,##0.0000\);_(* &quot;-&quot;??_);_(@_)"/>
    <numFmt numFmtId="168" formatCode="_(* #,##0.0_);_(* \(#,##0.0\);_(* &quot;-&quot;??_);_(@_)"/>
    <numFmt numFmtId="169" formatCode="_(* #,##0_);_(* \(#,##0\);_(* &quot;-&quot;??_);_(@_)"/>
    <numFmt numFmtId="170" formatCode="#,##0.00_ ;[Red]\-#,##0.00\ 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8"/>
      <name val="Aptos"/>
      <family val="2"/>
    </font>
    <font>
      <b/>
      <sz val="14"/>
      <name val="Aptos"/>
      <family val="2"/>
    </font>
    <font>
      <sz val="10"/>
      <name val="Aptos"/>
      <family val="2"/>
    </font>
    <font>
      <sz val="10"/>
      <name val="Arial"/>
      <family val="2"/>
    </font>
    <font>
      <b/>
      <sz val="12"/>
      <name val="Aptos"/>
      <family val="2"/>
    </font>
    <font>
      <b/>
      <sz val="10"/>
      <name val="Aptos"/>
      <family val="2"/>
    </font>
    <font>
      <b/>
      <sz val="11"/>
      <name val="Aptos"/>
      <family val="2"/>
    </font>
    <font>
      <sz val="10"/>
      <color theme="1"/>
      <name val="Aptos"/>
      <family val="2"/>
    </font>
    <font>
      <b/>
      <sz val="9"/>
      <name val="Aptos"/>
      <family val="2"/>
    </font>
    <font>
      <i/>
      <sz val="10"/>
      <name val="Aptos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4" fillId="0" borderId="0" xfId="0" applyFont="1"/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7" fillId="0" borderId="13" xfId="0" applyFont="1" applyBorder="1" applyAlignment="1">
      <alignment vertical="center"/>
    </xf>
    <xf numFmtId="169" fontId="8" fillId="0" borderId="0" xfId="1" applyNumberFormat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10" fontId="4" fillId="0" borderId="0" xfId="2" applyNumberFormat="1" applyFont="1" applyAlignment="1">
      <alignment horizontal="center"/>
    </xf>
    <xf numFmtId="9" fontId="4" fillId="0" borderId="0" xfId="2" applyFont="1" applyAlignment="1">
      <alignment horizontal="center"/>
    </xf>
    <xf numFmtId="38" fontId="4" fillId="0" borderId="0" xfId="0" applyNumberFormat="1" applyFont="1" applyAlignment="1">
      <alignment horizontal="center"/>
    </xf>
    <xf numFmtId="40" fontId="7" fillId="0" borderId="7" xfId="0" applyNumberFormat="1" applyFont="1" applyBorder="1" applyAlignment="1">
      <alignment vertical="center"/>
    </xf>
    <xf numFmtId="43" fontId="9" fillId="0" borderId="8" xfId="3" applyFont="1" applyBorder="1"/>
    <xf numFmtId="38" fontId="7" fillId="0" borderId="7" xfId="0" applyNumberFormat="1" applyFont="1" applyBorder="1" applyAlignment="1">
      <alignment vertical="center"/>
    </xf>
    <xf numFmtId="38" fontId="7" fillId="0" borderId="7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38" fontId="7" fillId="0" borderId="8" xfId="1" applyNumberFormat="1" applyFont="1" applyFill="1" applyBorder="1" applyAlignment="1">
      <alignment vertical="center"/>
    </xf>
    <xf numFmtId="38" fontId="7" fillId="0" borderId="9" xfId="1" applyNumberFormat="1" applyFont="1" applyFill="1" applyBorder="1" applyAlignment="1">
      <alignment vertical="center"/>
    </xf>
    <xf numFmtId="169" fontId="7" fillId="0" borderId="7" xfId="1" applyNumberFormat="1" applyFont="1" applyFill="1" applyBorder="1" applyAlignment="1">
      <alignment vertical="center"/>
    </xf>
    <xf numFmtId="164" fontId="7" fillId="0" borderId="7" xfId="1" applyFont="1" applyFill="1" applyBorder="1" applyAlignment="1">
      <alignment vertical="center"/>
    </xf>
    <xf numFmtId="169" fontId="7" fillId="0" borderId="8" xfId="1" applyNumberFormat="1" applyFont="1" applyFill="1" applyBorder="1" applyAlignment="1">
      <alignment vertical="center"/>
    </xf>
    <xf numFmtId="169" fontId="7" fillId="0" borderId="9" xfId="1" applyNumberFormat="1" applyFont="1" applyFill="1" applyBorder="1" applyAlignment="1">
      <alignment vertical="center"/>
    </xf>
    <xf numFmtId="169" fontId="4" fillId="0" borderId="8" xfId="1" applyNumberFormat="1" applyFont="1" applyFill="1" applyBorder="1" applyAlignment="1">
      <alignment vertical="center"/>
    </xf>
    <xf numFmtId="169" fontId="4" fillId="0" borderId="9" xfId="1" applyNumberFormat="1" applyFont="1" applyFill="1" applyBorder="1" applyAlignment="1">
      <alignment vertical="center"/>
    </xf>
    <xf numFmtId="169" fontId="4" fillId="0" borderId="11" xfId="1" applyNumberFormat="1" applyFont="1" applyFill="1" applyBorder="1" applyAlignment="1">
      <alignment vertical="center"/>
    </xf>
    <xf numFmtId="169" fontId="4" fillId="0" borderId="12" xfId="1" applyNumberFormat="1" applyFont="1" applyFill="1" applyBorder="1" applyAlignment="1">
      <alignment vertical="center"/>
    </xf>
    <xf numFmtId="169" fontId="7" fillId="0" borderId="10" xfId="1" applyNumberFormat="1" applyFont="1" applyFill="1" applyBorder="1" applyAlignment="1">
      <alignment vertical="center"/>
    </xf>
    <xf numFmtId="169" fontId="4" fillId="0" borderId="14" xfId="1" applyNumberFormat="1" applyFont="1" applyFill="1" applyBorder="1" applyAlignment="1">
      <alignment vertical="center"/>
    </xf>
    <xf numFmtId="169" fontId="4" fillId="0" borderId="15" xfId="1" applyNumberFormat="1" applyFont="1" applyFill="1" applyBorder="1" applyAlignment="1">
      <alignment vertical="center"/>
    </xf>
    <xf numFmtId="169" fontId="7" fillId="0" borderId="13" xfId="1" applyNumberFormat="1" applyFont="1" applyFill="1" applyBorder="1" applyAlignment="1">
      <alignment vertical="center"/>
    </xf>
    <xf numFmtId="40" fontId="4" fillId="0" borderId="8" xfId="1" applyNumberFormat="1" applyFont="1" applyFill="1" applyBorder="1" applyAlignment="1">
      <alignment vertical="center"/>
    </xf>
    <xf numFmtId="40" fontId="4" fillId="0" borderId="9" xfId="1" applyNumberFormat="1" applyFont="1" applyFill="1" applyBorder="1" applyAlignment="1">
      <alignment vertical="center"/>
    </xf>
    <xf numFmtId="40" fontId="4" fillId="0" borderId="24" xfId="1" applyNumberFormat="1" applyFont="1" applyFill="1" applyBorder="1" applyAlignment="1">
      <alignment vertical="center"/>
    </xf>
    <xf numFmtId="164" fontId="4" fillId="0" borderId="8" xfId="1" applyFont="1" applyFill="1" applyBorder="1" applyAlignment="1">
      <alignment vertical="center"/>
    </xf>
    <xf numFmtId="164" fontId="4" fillId="0" borderId="9" xfId="1" applyFont="1" applyFill="1" applyBorder="1" applyAlignment="1">
      <alignment vertical="center"/>
    </xf>
    <xf numFmtId="169" fontId="7" fillId="0" borderId="24" xfId="1" applyNumberFormat="1" applyFont="1" applyFill="1" applyBorder="1" applyAlignment="1">
      <alignment vertical="center"/>
    </xf>
    <xf numFmtId="169" fontId="7" fillId="0" borderId="11" xfId="1" applyNumberFormat="1" applyFont="1" applyFill="1" applyBorder="1" applyAlignment="1">
      <alignment vertical="center"/>
    </xf>
    <xf numFmtId="169" fontId="7" fillId="0" borderId="12" xfId="1" applyNumberFormat="1" applyFont="1" applyFill="1" applyBorder="1" applyAlignment="1">
      <alignment vertical="center"/>
    </xf>
    <xf numFmtId="169" fontId="7" fillId="0" borderId="25" xfId="1" applyNumberFormat="1" applyFont="1" applyFill="1" applyBorder="1" applyAlignment="1">
      <alignment vertical="center"/>
    </xf>
    <xf numFmtId="169" fontId="7" fillId="0" borderId="14" xfId="1" applyNumberFormat="1" applyFont="1" applyFill="1" applyBorder="1" applyAlignment="1">
      <alignment vertical="center"/>
    </xf>
    <xf numFmtId="169" fontId="7" fillId="0" borderId="15" xfId="1" applyNumberFormat="1" applyFont="1" applyFill="1" applyBorder="1" applyAlignment="1">
      <alignment vertical="center"/>
    </xf>
    <xf numFmtId="169" fontId="7" fillId="0" borderId="26" xfId="1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Continuous" vertical="center"/>
    </xf>
    <xf numFmtId="0" fontId="7" fillId="0" borderId="28" xfId="0" applyFont="1" applyBorder="1" applyAlignment="1">
      <alignment vertical="center"/>
    </xf>
    <xf numFmtId="169" fontId="4" fillId="0" borderId="29" xfId="1" applyNumberFormat="1" applyFont="1" applyFill="1" applyBorder="1" applyAlignment="1">
      <alignment vertical="center"/>
    </xf>
    <xf numFmtId="169" fontId="4" fillId="0" borderId="30" xfId="1" applyNumberFormat="1" applyFont="1" applyFill="1" applyBorder="1" applyAlignment="1">
      <alignment vertical="center"/>
    </xf>
    <xf numFmtId="169" fontId="7" fillId="0" borderId="28" xfId="1" applyNumberFormat="1" applyFont="1" applyFill="1" applyBorder="1" applyAlignment="1">
      <alignment vertical="center"/>
    </xf>
    <xf numFmtId="0" fontId="4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170" fontId="4" fillId="0" borderId="0" xfId="0" applyNumberFormat="1" applyFont="1"/>
    <xf numFmtId="40" fontId="4" fillId="0" borderId="0" xfId="0" applyNumberFormat="1" applyFont="1" applyAlignment="1">
      <alignment horizontal="center"/>
    </xf>
    <xf numFmtId="38" fontId="7" fillId="2" borderId="8" xfId="1" applyNumberFormat="1" applyFont="1" applyFill="1" applyBorder="1" applyAlignment="1">
      <alignment vertical="center"/>
    </xf>
    <xf numFmtId="40" fontId="4" fillId="2" borderId="8" xfId="1" applyNumberFormat="1" applyFont="1" applyFill="1" applyBorder="1" applyAlignment="1">
      <alignment vertical="center"/>
    </xf>
    <xf numFmtId="0" fontId="11" fillId="0" borderId="0" xfId="0" applyFont="1"/>
    <xf numFmtId="40" fontId="4" fillId="0" borderId="8" xfId="1" applyNumberFormat="1" applyFont="1" applyFill="1" applyBorder="1" applyAlignment="1">
      <alignment horizontal="right" vertical="center"/>
    </xf>
    <xf numFmtId="40" fontId="4" fillId="0" borderId="9" xfId="1" applyNumberFormat="1" applyFont="1" applyFill="1" applyBorder="1" applyAlignment="1">
      <alignment horizontal="right" vertical="center"/>
    </xf>
    <xf numFmtId="40" fontId="4" fillId="0" borderId="24" xfId="1" applyNumberFormat="1" applyFont="1" applyFill="1" applyBorder="1" applyAlignment="1">
      <alignment horizontal="right" vertical="center"/>
    </xf>
    <xf numFmtId="40" fontId="12" fillId="0" borderId="8" xfId="1" applyNumberFormat="1" applyFont="1" applyFill="1" applyBorder="1" applyAlignment="1">
      <alignment horizontal="right" vertical="center"/>
    </xf>
    <xf numFmtId="40" fontId="12" fillId="0" borderId="9" xfId="1" applyNumberFormat="1" applyFont="1" applyFill="1" applyBorder="1" applyAlignment="1">
      <alignment horizontal="right" vertical="center"/>
    </xf>
    <xf numFmtId="40" fontId="12" fillId="0" borderId="24" xfId="1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vertical="center"/>
    </xf>
    <xf numFmtId="165" fontId="4" fillId="4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vertical="center"/>
    </xf>
    <xf numFmtId="166" fontId="4" fillId="4" borderId="9" xfId="1" applyNumberFormat="1" applyFont="1" applyFill="1" applyBorder="1" applyAlignment="1">
      <alignment vertical="center"/>
    </xf>
    <xf numFmtId="167" fontId="7" fillId="4" borderId="7" xfId="1" applyNumberFormat="1" applyFont="1" applyFill="1" applyBorder="1" applyAlignment="1">
      <alignment vertical="center"/>
    </xf>
    <xf numFmtId="38" fontId="4" fillId="4" borderId="8" xfId="1" applyNumberFormat="1" applyFont="1" applyFill="1" applyBorder="1" applyAlignment="1">
      <alignment vertical="center"/>
    </xf>
    <xf numFmtId="38" fontId="4" fillId="4" borderId="9" xfId="1" applyNumberFormat="1" applyFont="1" applyFill="1" applyBorder="1" applyAlignment="1">
      <alignment vertical="center"/>
    </xf>
    <xf numFmtId="38" fontId="7" fillId="4" borderId="7" xfId="1" applyNumberFormat="1" applyFont="1" applyFill="1" applyBorder="1" applyAlignment="1">
      <alignment vertical="center"/>
    </xf>
    <xf numFmtId="168" fontId="4" fillId="4" borderId="8" xfId="1" applyNumberFormat="1" applyFont="1" applyFill="1" applyBorder="1" applyAlignment="1">
      <alignment vertical="center"/>
    </xf>
    <xf numFmtId="168" fontId="4" fillId="4" borderId="9" xfId="1" applyNumberFormat="1" applyFont="1" applyFill="1" applyBorder="1" applyAlignment="1">
      <alignment vertical="center"/>
    </xf>
    <xf numFmtId="40" fontId="7" fillId="4" borderId="7" xfId="0" applyNumberFormat="1" applyFont="1" applyFill="1" applyBorder="1" applyAlignment="1">
      <alignment vertical="center"/>
    </xf>
    <xf numFmtId="169" fontId="7" fillId="4" borderId="8" xfId="1" applyNumberFormat="1" applyFont="1" applyFill="1" applyBorder="1" applyAlignment="1">
      <alignment vertical="center"/>
    </xf>
    <xf numFmtId="169" fontId="7" fillId="4" borderId="9" xfId="1" applyNumberFormat="1" applyFont="1" applyFill="1" applyBorder="1" applyAlignment="1">
      <alignment vertical="center"/>
    </xf>
    <xf numFmtId="169" fontId="7" fillId="4" borderId="7" xfId="1" applyNumberFormat="1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165" fontId="4" fillId="4" borderId="20" xfId="0" applyNumberFormat="1" applyFont="1" applyFill="1" applyBorder="1" applyAlignment="1">
      <alignment horizontal="center" vertical="center"/>
    </xf>
    <xf numFmtId="165" fontId="4" fillId="4" borderId="21" xfId="0" applyNumberFormat="1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38" fontId="7" fillId="4" borderId="8" xfId="1" applyNumberFormat="1" applyFont="1" applyFill="1" applyBorder="1" applyAlignment="1">
      <alignment vertical="center"/>
    </xf>
    <xf numFmtId="38" fontId="7" fillId="4" borderId="7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horizontal="center" vertical="center"/>
    </xf>
    <xf numFmtId="166" fontId="4" fillId="4" borderId="24" xfId="1" applyNumberFormat="1" applyFont="1" applyFill="1" applyBorder="1" applyAlignment="1">
      <alignment vertical="center"/>
    </xf>
    <xf numFmtId="166" fontId="7" fillId="4" borderId="7" xfId="1" applyNumberFormat="1" applyFont="1" applyFill="1" applyBorder="1" applyAlignment="1">
      <alignment vertical="center"/>
    </xf>
    <xf numFmtId="164" fontId="4" fillId="4" borderId="8" xfId="1" applyFont="1" applyFill="1" applyBorder="1" applyAlignment="1">
      <alignment vertical="center"/>
    </xf>
    <xf numFmtId="164" fontId="4" fillId="4" borderId="9" xfId="1" applyFont="1" applyFill="1" applyBorder="1" applyAlignment="1">
      <alignment vertical="center"/>
    </xf>
    <xf numFmtId="164" fontId="4" fillId="4" borderId="24" xfId="1" applyFont="1" applyFill="1" applyBorder="1" applyAlignment="1">
      <alignment vertical="center"/>
    </xf>
    <xf numFmtId="38" fontId="8" fillId="4" borderId="8" xfId="1" applyNumberFormat="1" applyFont="1" applyFill="1" applyBorder="1" applyAlignment="1">
      <alignment horizontal="right" vertical="center"/>
    </xf>
    <xf numFmtId="40" fontId="4" fillId="4" borderId="8" xfId="1" applyNumberFormat="1" applyFont="1" applyFill="1" applyBorder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/>
    </xf>
  </cellXfs>
  <cellStyles count="4">
    <cellStyle name="Normal" xfId="0" builtinId="0"/>
    <cellStyle name="Porcentagem" xfId="2" builtinId="5"/>
    <cellStyle name="Vírgula" xfId="1" builtinId="3"/>
    <cellStyle name="Vírgula 2" xfId="3" xr:uid="{8C3B2807-878C-4D60-9386-8CE81882C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Ger&#234;ncia\Dados%20Gerais\DADOS%20DO%20TRANSCOL%20CONSORCIOS.XLS" TargetMode="External"/><Relationship Id="rId1" Type="http://schemas.openxmlformats.org/officeDocument/2006/relationships/externalLinkPath" Target="/GECON/Ger&#234;ncia/Dados%20Gerais/DADOS%20DO%20TRANSCOL%20CONSORCIOS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2-03%20-%20Fevereiro\2025-02-03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2-03%20-%20Fevereiro/2025-02-03%20-%20Composi&#231;&#227;o%20de%20Frota%20-%20CETURB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Estatist\REFEV25\Camara.xls" TargetMode="External"/><Relationship Id="rId1" Type="http://schemas.openxmlformats.org/officeDocument/2006/relationships/externalLinkPath" Target="/GECON/Estatist/REFEV25/Cama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MAR25/Camar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2%20FEVEREIR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2%20FEVEREI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3%20MAR&#199;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3%20MAR&#199;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1-02%20-%20Janeiro\2025-01-02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1-02%20-%20Janeiro/2025-01-02%20-%20Composi&#231;&#227;o%20de%20Frota%20-%20CETURB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2-03%20-%20Fevereiro\2025-02-03%20-%20Composi&#231;&#227;o%20de%20Frota%20-%20CETURB%20Rev%2001.xlsm" TargetMode="External"/><Relationship Id="rId1" Type="http://schemas.openxmlformats.org/officeDocument/2006/relationships/externalLinkPath" Target="/TROCAS/1%20PERMANENTE/MARCELO%20GECON/COMPOSI&#199;&#195;O%20DE%20FROTA/FROTA%202025/2025-02-03%20-%20Fevereiro/2025-02-03%20-%20Composi&#231;&#227;o%20de%20Frota%20-%20CETURB%20Rev%2001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3-06%20-%20Mar&#231;o\2025-03-06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3-06%20-%20Mar&#231;o/2025-03-06%20-%20Composi&#231;&#227;o%20de%20Frota%20-%20CETURB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1-02%20-%20Janeiro\2025-01-02%20-%20Composi&#231;&#227;o%20de%20Frota%20-%20CETURB%20-%20Rev01.xlsm" TargetMode="External"/><Relationship Id="rId1" Type="http://schemas.openxmlformats.org/officeDocument/2006/relationships/externalLinkPath" Target="/TROCAS/1%20PERMANENTE/MARCELO%20GECON/COMPOSI&#199;&#195;O%20DE%20FROTA/FROTA%202025/2025-01-02%20-%20Janeiro/2025-01-02%20-%20Composi&#231;&#227;o%20de%20Frota%20-%20CETURB%20-%20Re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9"/>
      <sheetName val="2000"/>
      <sheetName val="2001"/>
      <sheetName val="2002"/>
      <sheetName val="Gráf1"/>
      <sheetName val="Gráf2"/>
      <sheetName val="Gráf3"/>
      <sheetName val="Gráf4"/>
      <sheetName val="Plan1"/>
      <sheetName val="dados par TC"/>
      <sheetName val="2002 (2)"/>
      <sheetName val="Comparativo 2001-2000-1999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COMP DEMXKM"/>
      <sheetName val="COMP DEMXKM (2)"/>
      <sheetName val="ACUM 2018 A 2023"/>
      <sheetName val="Evol DemxKm"/>
      <sheetName val="Evol DemxKm (2)"/>
      <sheetName val="VAR% DEMTIPO"/>
      <sheetName val="Evol.Dem Anual"/>
      <sheetName val="Evol.km Anu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B31">
            <v>12578800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C5">
            <v>36602655.700000003</v>
          </cell>
          <cell r="D5">
            <v>38613263.380000003</v>
          </cell>
        </row>
        <row r="14">
          <cell r="C14">
            <v>3858190.66</v>
          </cell>
          <cell r="D14">
            <v>4070123.6599999997</v>
          </cell>
        </row>
        <row r="15">
          <cell r="C15">
            <v>149402</v>
          </cell>
          <cell r="D15">
            <v>157983</v>
          </cell>
        </row>
        <row r="30">
          <cell r="C30">
            <v>3158279</v>
          </cell>
          <cell r="D30">
            <v>3166830</v>
          </cell>
        </row>
        <row r="33">
          <cell r="B33">
            <v>72902</v>
          </cell>
          <cell r="C33">
            <v>167013</v>
          </cell>
          <cell r="D33">
            <v>232944</v>
          </cell>
        </row>
        <row r="34">
          <cell r="B34">
            <v>2794</v>
          </cell>
          <cell r="C34">
            <v>109189</v>
          </cell>
          <cell r="D34">
            <v>192637</v>
          </cell>
        </row>
        <row r="35">
          <cell r="C35">
            <v>100454</v>
          </cell>
          <cell r="D35">
            <v>99963</v>
          </cell>
        </row>
        <row r="36">
          <cell r="C36">
            <v>5</v>
          </cell>
          <cell r="D36">
            <v>11</v>
          </cell>
        </row>
        <row r="37">
          <cell r="C37">
            <v>2614168</v>
          </cell>
          <cell r="D37">
            <v>2471589</v>
          </cell>
        </row>
        <row r="38">
          <cell r="C38">
            <v>500563</v>
          </cell>
          <cell r="D38">
            <v>510083</v>
          </cell>
        </row>
        <row r="39">
          <cell r="C39">
            <v>748</v>
          </cell>
          <cell r="D39">
            <v>605</v>
          </cell>
        </row>
        <row r="40">
          <cell r="C40">
            <v>40263</v>
          </cell>
          <cell r="D40">
            <v>40306</v>
          </cell>
        </row>
        <row r="45">
          <cell r="C45">
            <v>45469106.68</v>
          </cell>
          <cell r="D45">
            <v>47879701.659999996</v>
          </cell>
        </row>
        <row r="54">
          <cell r="C54">
            <v>4587001.07</v>
          </cell>
          <cell r="D54">
            <v>4830186.0199999996</v>
          </cell>
        </row>
        <row r="55">
          <cell r="C55">
            <v>146516.5</v>
          </cell>
          <cell r="D55">
            <v>154055.5</v>
          </cell>
        </row>
        <row r="70">
          <cell r="C70">
            <v>3335225</v>
          </cell>
          <cell r="D70">
            <v>3326869</v>
          </cell>
        </row>
        <row r="73">
          <cell r="C73">
            <v>204516</v>
          </cell>
          <cell r="D73">
            <v>262036</v>
          </cell>
        </row>
        <row r="74">
          <cell r="C74">
            <v>128560</v>
          </cell>
          <cell r="D74">
            <v>218529</v>
          </cell>
        </row>
        <row r="75">
          <cell r="C75">
            <v>132599</v>
          </cell>
          <cell r="D75">
            <v>133150</v>
          </cell>
        </row>
        <row r="76">
          <cell r="C76">
            <v>124</v>
          </cell>
          <cell r="D76">
            <v>198</v>
          </cell>
        </row>
        <row r="77">
          <cell r="C77">
            <v>2750443</v>
          </cell>
          <cell r="D77">
            <v>2594787</v>
          </cell>
        </row>
        <row r="78">
          <cell r="C78">
            <v>619940</v>
          </cell>
          <cell r="D78">
            <v>635970</v>
          </cell>
        </row>
        <row r="79">
          <cell r="C79">
            <v>1577</v>
          </cell>
          <cell r="D79">
            <v>1520</v>
          </cell>
        </row>
        <row r="80">
          <cell r="C80">
            <v>45627</v>
          </cell>
          <cell r="D80">
            <v>44581</v>
          </cell>
        </row>
        <row r="100">
          <cell r="B100">
            <v>7.1665675193337295</v>
          </cell>
        </row>
        <row r="102">
          <cell r="B102">
            <v>9.9210526315789469</v>
          </cell>
          <cell r="C102">
            <v>9.8461538461538467</v>
          </cell>
          <cell r="D102">
            <v>9.9210526315789469</v>
          </cell>
        </row>
        <row r="104">
          <cell r="B104">
            <v>5.6363636363636367</v>
          </cell>
          <cell r="C104">
            <v>5.6363636363636367</v>
          </cell>
          <cell r="D104">
            <v>5.6363636363636367</v>
          </cell>
        </row>
        <row r="105">
          <cell r="C105">
            <v>7.2052689352360044</v>
          </cell>
          <cell r="D105">
            <v>7.2052689352360044</v>
          </cell>
        </row>
        <row r="109">
          <cell r="B109">
            <v>4.88</v>
          </cell>
          <cell r="C109">
            <v>4.88</v>
          </cell>
          <cell r="D109">
            <v>4.88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C5">
            <v>664</v>
          </cell>
        </row>
        <row r="15">
          <cell r="G15">
            <v>2</v>
          </cell>
        </row>
        <row r="16">
          <cell r="G16">
            <v>6.36</v>
          </cell>
        </row>
        <row r="17">
          <cell r="G17">
            <v>9.6842105263157894</v>
          </cell>
        </row>
        <row r="18">
          <cell r="G18">
            <v>4.5</v>
          </cell>
        </row>
        <row r="20">
          <cell r="K20">
            <v>7.2886699507389165</v>
          </cell>
        </row>
        <row r="24">
          <cell r="G24">
            <v>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ST"/>
      <sheetName val="REPREC"/>
      <sheetName val="RESUM"/>
    </sheetNames>
    <sheetDataSet>
      <sheetData sheetId="0">
        <row r="6">
          <cell r="K6">
            <v>26124321.329999998</v>
          </cell>
        </row>
        <row r="7">
          <cell r="K7">
            <v>32452846.82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25742526.129999999</v>
          </cell>
        </row>
        <row r="7">
          <cell r="K7">
            <v>31919651.59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192412.27931517366</v>
          </cell>
        </row>
        <row r="9">
          <cell r="C9">
            <v>236197.04268170134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191831.47343183798</v>
          </cell>
        </row>
        <row r="9">
          <cell r="C9">
            <v>235681.02670149534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C5">
            <v>664</v>
          </cell>
          <cell r="G5">
            <v>7.0205761316872426</v>
          </cell>
          <cell r="K5">
            <v>7.09005376344086</v>
          </cell>
        </row>
        <row r="6">
          <cell r="D6">
            <v>1</v>
          </cell>
          <cell r="G6">
            <v>2</v>
          </cell>
        </row>
        <row r="7">
          <cell r="G7">
            <v>2</v>
          </cell>
        </row>
        <row r="8">
          <cell r="G8">
            <v>10.057142857142857</v>
          </cell>
        </row>
        <row r="9">
          <cell r="C9">
            <v>9</v>
          </cell>
          <cell r="G9">
            <v>5.5555555555555554</v>
          </cell>
        </row>
        <row r="14">
          <cell r="G14">
            <v>7.0244173140954498</v>
          </cell>
        </row>
        <row r="15">
          <cell r="G15">
            <v>2</v>
          </cell>
        </row>
        <row r="16">
          <cell r="G16">
            <v>6.36</v>
          </cell>
        </row>
        <row r="17">
          <cell r="G17">
            <v>9.6842105263157894</v>
          </cell>
        </row>
        <row r="18">
          <cell r="G18">
            <v>4.5</v>
          </cell>
        </row>
        <row r="20">
          <cell r="K20">
            <v>7.2956777996070725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  <cell r="G5">
            <v>7.0027434842249656</v>
          </cell>
        </row>
        <row r="6">
          <cell r="F6">
            <v>1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10.194444444444445</v>
          </cell>
        </row>
        <row r="9">
          <cell r="F9">
            <v>9</v>
          </cell>
          <cell r="G9">
            <v>5.5555555555555554</v>
          </cell>
        </row>
        <row r="11">
          <cell r="C11">
            <v>719</v>
          </cell>
        </row>
        <row r="14">
          <cell r="F14">
            <v>901</v>
          </cell>
          <cell r="G14">
            <v>7.059933407325194</v>
          </cell>
        </row>
        <row r="15">
          <cell r="F15">
            <v>1</v>
          </cell>
        </row>
        <row r="16">
          <cell r="F16">
            <v>25</v>
          </cell>
        </row>
        <row r="17">
          <cell r="F17">
            <v>38</v>
          </cell>
        </row>
        <row r="18">
          <cell r="F18">
            <v>16</v>
          </cell>
        </row>
        <row r="20">
          <cell r="C20">
            <v>894</v>
          </cell>
          <cell r="G20">
            <v>7.0968399592252807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</row>
        <row r="6">
          <cell r="F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10.194444444444445</v>
          </cell>
        </row>
        <row r="9">
          <cell r="F9">
            <v>9</v>
          </cell>
          <cell r="G9">
            <v>5.5555555555555554</v>
          </cell>
        </row>
        <row r="11">
          <cell r="C11">
            <v>720</v>
          </cell>
        </row>
        <row r="14">
          <cell r="F14">
            <v>901</v>
          </cell>
          <cell r="G14">
            <v>7.057713651498335</v>
          </cell>
        </row>
        <row r="15">
          <cell r="F15">
            <v>1</v>
          </cell>
          <cell r="G15">
            <v>2</v>
          </cell>
        </row>
        <row r="16">
          <cell r="F16">
            <v>25</v>
          </cell>
          <cell r="G16">
            <v>6.36</v>
          </cell>
        </row>
        <row r="17">
          <cell r="F17">
            <v>37</v>
          </cell>
          <cell r="G17">
            <v>9.486486486486486</v>
          </cell>
        </row>
        <row r="18">
          <cell r="F18">
            <v>16</v>
          </cell>
          <cell r="G18">
            <v>4.5</v>
          </cell>
        </row>
        <row r="20">
          <cell r="C20">
            <v>894</v>
          </cell>
          <cell r="G20">
            <v>7.08469387755102</v>
          </cell>
          <cell r="K20">
            <v>7.2886699507389165</v>
          </cell>
        </row>
        <row r="24">
          <cell r="G24">
            <v>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</row>
        <row r="7">
          <cell r="F7">
            <v>14</v>
          </cell>
        </row>
        <row r="8">
          <cell r="F8">
            <v>35</v>
          </cell>
        </row>
        <row r="11">
          <cell r="C11">
            <v>719</v>
          </cell>
        </row>
        <row r="14">
          <cell r="F14">
            <v>901</v>
          </cell>
        </row>
        <row r="15">
          <cell r="F15">
            <v>1</v>
          </cell>
        </row>
        <row r="16">
          <cell r="F16">
            <v>25</v>
          </cell>
        </row>
        <row r="17">
          <cell r="F17">
            <v>38</v>
          </cell>
        </row>
        <row r="18">
          <cell r="F18">
            <v>16</v>
          </cell>
        </row>
        <row r="20">
          <cell r="C20">
            <v>894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B324-9150-42D2-A63D-0542E3E063A5}">
  <sheetPr>
    <pageSetUpPr fitToPage="1"/>
  </sheetPr>
  <dimension ref="A1:BK167"/>
  <sheetViews>
    <sheetView showGridLines="0" tabSelected="1" zoomScale="89" zoomScaleNormal="89" workbookViewId="0">
      <pane xSplit="1" ySplit="3" topLeftCell="B4" activePane="bottomRight" state="frozen"/>
      <selection activeCell="O68" sqref="O68"/>
      <selection pane="topRight" activeCell="O68" sqref="O68"/>
      <selection pane="bottomLeft" activeCell="O68" sqref="O68"/>
      <selection pane="bottomRight" activeCell="O68" sqref="O68"/>
    </sheetView>
  </sheetViews>
  <sheetFormatPr defaultColWidth="11.42578125" defaultRowHeight="13.5" x14ac:dyDescent="0.25"/>
  <cols>
    <col min="1" max="1" width="40.5703125" style="10" bestFit="1" customWidth="1"/>
    <col min="2" max="7" width="14.5703125" style="10" bestFit="1" customWidth="1"/>
    <col min="8" max="13" width="15.85546875" style="10" bestFit="1" customWidth="1"/>
    <col min="14" max="14" width="15.42578125" style="10" bestFit="1" customWidth="1"/>
    <col min="15" max="15" width="11.42578125" style="10"/>
    <col min="16" max="16" width="15.42578125" style="10" bestFit="1" customWidth="1"/>
    <col min="17" max="236" width="11.42578125" style="10"/>
    <col min="237" max="237" width="34" style="10" customWidth="1"/>
    <col min="238" max="238" width="16.7109375" style="10" customWidth="1"/>
    <col min="239" max="239" width="16.28515625" style="10" bestFit="1" customWidth="1"/>
    <col min="240" max="240" width="16.140625" style="10" customWidth="1"/>
    <col min="241" max="241" width="16.28515625" style="10" bestFit="1" customWidth="1"/>
    <col min="242" max="242" width="16.5703125" style="10" customWidth="1"/>
    <col min="243" max="244" width="17.7109375" style="10" customWidth="1"/>
    <col min="245" max="247" width="16.28515625" style="10" bestFit="1" customWidth="1"/>
    <col min="248" max="249" width="16.5703125" style="10" bestFit="1" customWidth="1"/>
    <col min="250" max="250" width="20.140625" style="10" bestFit="1" customWidth="1"/>
    <col min="251" max="251" width="17.7109375" style="10" bestFit="1" customWidth="1"/>
    <col min="252" max="252" width="18.140625" style="10" customWidth="1"/>
    <col min="253" max="253" width="17.7109375" style="10" bestFit="1" customWidth="1"/>
    <col min="254" max="254" width="20.85546875" style="10" bestFit="1" customWidth="1"/>
    <col min="255" max="255" width="20.28515625" style="10" bestFit="1" customWidth="1"/>
    <col min="256" max="256" width="21.42578125" style="10" bestFit="1" customWidth="1"/>
    <col min="257" max="257" width="20.28515625" style="10" bestFit="1" customWidth="1"/>
    <col min="258" max="258" width="16.7109375" style="10" bestFit="1" customWidth="1"/>
    <col min="259" max="259" width="15.85546875" style="10" bestFit="1" customWidth="1"/>
    <col min="260" max="260" width="17" style="10" bestFit="1" customWidth="1"/>
    <col min="261" max="263" width="13.5703125" style="10" bestFit="1" customWidth="1"/>
    <col min="264" max="264" width="14.5703125" style="10" bestFit="1" customWidth="1"/>
    <col min="265" max="265" width="13" style="10" bestFit="1" customWidth="1"/>
    <col min="266" max="266" width="14.5703125" style="10" bestFit="1" customWidth="1"/>
    <col min="267" max="267" width="15.140625" style="10" bestFit="1" customWidth="1"/>
    <col min="268" max="268" width="11.5703125" style="10" bestFit="1" customWidth="1"/>
    <col min="269" max="492" width="11.42578125" style="10"/>
    <col min="493" max="493" width="34" style="10" customWidth="1"/>
    <col min="494" max="494" width="16.7109375" style="10" customWidth="1"/>
    <col min="495" max="495" width="16.28515625" style="10" bestFit="1" customWidth="1"/>
    <col min="496" max="496" width="16.140625" style="10" customWidth="1"/>
    <col min="497" max="497" width="16.28515625" style="10" bestFit="1" customWidth="1"/>
    <col min="498" max="498" width="16.5703125" style="10" customWidth="1"/>
    <col min="499" max="500" width="17.7109375" style="10" customWidth="1"/>
    <col min="501" max="503" width="16.28515625" style="10" bestFit="1" customWidth="1"/>
    <col min="504" max="505" width="16.5703125" style="10" bestFit="1" customWidth="1"/>
    <col min="506" max="506" width="20.140625" style="10" bestFit="1" customWidth="1"/>
    <col min="507" max="507" width="17.7109375" style="10" bestFit="1" customWidth="1"/>
    <col min="508" max="508" width="18.140625" style="10" customWidth="1"/>
    <col min="509" max="509" width="17.7109375" style="10" bestFit="1" customWidth="1"/>
    <col min="510" max="510" width="20.85546875" style="10" bestFit="1" customWidth="1"/>
    <col min="511" max="511" width="20.28515625" style="10" bestFit="1" customWidth="1"/>
    <col min="512" max="512" width="21.42578125" style="10" bestFit="1" customWidth="1"/>
    <col min="513" max="513" width="20.28515625" style="10" bestFit="1" customWidth="1"/>
    <col min="514" max="514" width="16.7109375" style="10" bestFit="1" customWidth="1"/>
    <col min="515" max="515" width="15.85546875" style="10" bestFit="1" customWidth="1"/>
    <col min="516" max="516" width="17" style="10" bestFit="1" customWidth="1"/>
    <col min="517" max="519" width="13.5703125" style="10" bestFit="1" customWidth="1"/>
    <col min="520" max="520" width="14.5703125" style="10" bestFit="1" customWidth="1"/>
    <col min="521" max="521" width="13" style="10" bestFit="1" customWidth="1"/>
    <col min="522" max="522" width="14.5703125" style="10" bestFit="1" customWidth="1"/>
    <col min="523" max="523" width="15.140625" style="10" bestFit="1" customWidth="1"/>
    <col min="524" max="524" width="11.5703125" style="10" bestFit="1" customWidth="1"/>
    <col min="525" max="748" width="11.42578125" style="10"/>
    <col min="749" max="749" width="34" style="10" customWidth="1"/>
    <col min="750" max="750" width="16.7109375" style="10" customWidth="1"/>
    <col min="751" max="751" width="16.28515625" style="10" bestFit="1" customWidth="1"/>
    <col min="752" max="752" width="16.140625" style="10" customWidth="1"/>
    <col min="753" max="753" width="16.28515625" style="10" bestFit="1" customWidth="1"/>
    <col min="754" max="754" width="16.5703125" style="10" customWidth="1"/>
    <col min="755" max="756" width="17.7109375" style="10" customWidth="1"/>
    <col min="757" max="759" width="16.28515625" style="10" bestFit="1" customWidth="1"/>
    <col min="760" max="761" width="16.5703125" style="10" bestFit="1" customWidth="1"/>
    <col min="762" max="762" width="20.140625" style="10" bestFit="1" customWidth="1"/>
    <col min="763" max="763" width="17.7109375" style="10" bestFit="1" customWidth="1"/>
    <col min="764" max="764" width="18.140625" style="10" customWidth="1"/>
    <col min="765" max="765" width="17.7109375" style="10" bestFit="1" customWidth="1"/>
    <col min="766" max="766" width="20.85546875" style="10" bestFit="1" customWidth="1"/>
    <col min="767" max="767" width="20.28515625" style="10" bestFit="1" customWidth="1"/>
    <col min="768" max="768" width="21.42578125" style="10" bestFit="1" customWidth="1"/>
    <col min="769" max="769" width="20.28515625" style="10" bestFit="1" customWidth="1"/>
    <col min="770" max="770" width="16.7109375" style="10" bestFit="1" customWidth="1"/>
    <col min="771" max="771" width="15.85546875" style="10" bestFit="1" customWidth="1"/>
    <col min="772" max="772" width="17" style="10" bestFit="1" customWidth="1"/>
    <col min="773" max="775" width="13.5703125" style="10" bestFit="1" customWidth="1"/>
    <col min="776" max="776" width="14.5703125" style="10" bestFit="1" customWidth="1"/>
    <col min="777" max="777" width="13" style="10" bestFit="1" customWidth="1"/>
    <col min="778" max="778" width="14.5703125" style="10" bestFit="1" customWidth="1"/>
    <col min="779" max="779" width="15.140625" style="10" bestFit="1" customWidth="1"/>
    <col min="780" max="780" width="11.5703125" style="10" bestFit="1" customWidth="1"/>
    <col min="781" max="1004" width="11.42578125" style="10"/>
    <col min="1005" max="1005" width="34" style="10" customWidth="1"/>
    <col min="1006" max="1006" width="16.7109375" style="10" customWidth="1"/>
    <col min="1007" max="1007" width="16.28515625" style="10" bestFit="1" customWidth="1"/>
    <col min="1008" max="1008" width="16.140625" style="10" customWidth="1"/>
    <col min="1009" max="1009" width="16.28515625" style="10" bestFit="1" customWidth="1"/>
    <col min="1010" max="1010" width="16.5703125" style="10" customWidth="1"/>
    <col min="1011" max="1012" width="17.7109375" style="10" customWidth="1"/>
    <col min="1013" max="1015" width="16.28515625" style="10" bestFit="1" customWidth="1"/>
    <col min="1016" max="1017" width="16.5703125" style="10" bestFit="1" customWidth="1"/>
    <col min="1018" max="1018" width="20.140625" style="10" bestFit="1" customWidth="1"/>
    <col min="1019" max="1019" width="17.7109375" style="10" bestFit="1" customWidth="1"/>
    <col min="1020" max="1020" width="18.140625" style="10" customWidth="1"/>
    <col min="1021" max="1021" width="17.7109375" style="10" bestFit="1" customWidth="1"/>
    <col min="1022" max="1022" width="20.85546875" style="10" bestFit="1" customWidth="1"/>
    <col min="1023" max="1023" width="20.28515625" style="10" bestFit="1" customWidth="1"/>
    <col min="1024" max="1024" width="21.42578125" style="10" bestFit="1" customWidth="1"/>
    <col min="1025" max="1025" width="20.28515625" style="10" bestFit="1" customWidth="1"/>
    <col min="1026" max="1026" width="16.7109375" style="10" bestFit="1" customWidth="1"/>
    <col min="1027" max="1027" width="15.85546875" style="10" bestFit="1" customWidth="1"/>
    <col min="1028" max="1028" width="17" style="10" bestFit="1" customWidth="1"/>
    <col min="1029" max="1031" width="13.5703125" style="10" bestFit="1" customWidth="1"/>
    <col min="1032" max="1032" width="14.5703125" style="10" bestFit="1" customWidth="1"/>
    <col min="1033" max="1033" width="13" style="10" bestFit="1" customWidth="1"/>
    <col min="1034" max="1034" width="14.5703125" style="10" bestFit="1" customWidth="1"/>
    <col min="1035" max="1035" width="15.140625" style="10" bestFit="1" customWidth="1"/>
    <col min="1036" max="1036" width="11.5703125" style="10" bestFit="1" customWidth="1"/>
    <col min="1037" max="1260" width="11.42578125" style="10"/>
    <col min="1261" max="1261" width="34" style="10" customWidth="1"/>
    <col min="1262" max="1262" width="16.7109375" style="10" customWidth="1"/>
    <col min="1263" max="1263" width="16.28515625" style="10" bestFit="1" customWidth="1"/>
    <col min="1264" max="1264" width="16.140625" style="10" customWidth="1"/>
    <col min="1265" max="1265" width="16.28515625" style="10" bestFit="1" customWidth="1"/>
    <col min="1266" max="1266" width="16.5703125" style="10" customWidth="1"/>
    <col min="1267" max="1268" width="17.7109375" style="10" customWidth="1"/>
    <col min="1269" max="1271" width="16.28515625" style="10" bestFit="1" customWidth="1"/>
    <col min="1272" max="1273" width="16.5703125" style="10" bestFit="1" customWidth="1"/>
    <col min="1274" max="1274" width="20.140625" style="10" bestFit="1" customWidth="1"/>
    <col min="1275" max="1275" width="17.7109375" style="10" bestFit="1" customWidth="1"/>
    <col min="1276" max="1276" width="18.140625" style="10" customWidth="1"/>
    <col min="1277" max="1277" width="17.7109375" style="10" bestFit="1" customWidth="1"/>
    <col min="1278" max="1278" width="20.85546875" style="10" bestFit="1" customWidth="1"/>
    <col min="1279" max="1279" width="20.28515625" style="10" bestFit="1" customWidth="1"/>
    <col min="1280" max="1280" width="21.42578125" style="10" bestFit="1" customWidth="1"/>
    <col min="1281" max="1281" width="20.28515625" style="10" bestFit="1" customWidth="1"/>
    <col min="1282" max="1282" width="16.7109375" style="10" bestFit="1" customWidth="1"/>
    <col min="1283" max="1283" width="15.85546875" style="10" bestFit="1" customWidth="1"/>
    <col min="1284" max="1284" width="17" style="10" bestFit="1" customWidth="1"/>
    <col min="1285" max="1287" width="13.5703125" style="10" bestFit="1" customWidth="1"/>
    <col min="1288" max="1288" width="14.5703125" style="10" bestFit="1" customWidth="1"/>
    <col min="1289" max="1289" width="13" style="10" bestFit="1" customWidth="1"/>
    <col min="1290" max="1290" width="14.5703125" style="10" bestFit="1" customWidth="1"/>
    <col min="1291" max="1291" width="15.140625" style="10" bestFit="1" customWidth="1"/>
    <col min="1292" max="1292" width="11.5703125" style="10" bestFit="1" customWidth="1"/>
    <col min="1293" max="1516" width="11.42578125" style="10"/>
    <col min="1517" max="1517" width="34" style="10" customWidth="1"/>
    <col min="1518" max="1518" width="16.7109375" style="10" customWidth="1"/>
    <col min="1519" max="1519" width="16.28515625" style="10" bestFit="1" customWidth="1"/>
    <col min="1520" max="1520" width="16.140625" style="10" customWidth="1"/>
    <col min="1521" max="1521" width="16.28515625" style="10" bestFit="1" customWidth="1"/>
    <col min="1522" max="1522" width="16.5703125" style="10" customWidth="1"/>
    <col min="1523" max="1524" width="17.7109375" style="10" customWidth="1"/>
    <col min="1525" max="1527" width="16.28515625" style="10" bestFit="1" customWidth="1"/>
    <col min="1528" max="1529" width="16.5703125" style="10" bestFit="1" customWidth="1"/>
    <col min="1530" max="1530" width="20.140625" style="10" bestFit="1" customWidth="1"/>
    <col min="1531" max="1531" width="17.7109375" style="10" bestFit="1" customWidth="1"/>
    <col min="1532" max="1532" width="18.140625" style="10" customWidth="1"/>
    <col min="1533" max="1533" width="17.7109375" style="10" bestFit="1" customWidth="1"/>
    <col min="1534" max="1534" width="20.85546875" style="10" bestFit="1" customWidth="1"/>
    <col min="1535" max="1535" width="20.28515625" style="10" bestFit="1" customWidth="1"/>
    <col min="1536" max="1536" width="21.42578125" style="10" bestFit="1" customWidth="1"/>
    <col min="1537" max="1537" width="20.28515625" style="10" bestFit="1" customWidth="1"/>
    <col min="1538" max="1538" width="16.7109375" style="10" bestFit="1" customWidth="1"/>
    <col min="1539" max="1539" width="15.85546875" style="10" bestFit="1" customWidth="1"/>
    <col min="1540" max="1540" width="17" style="10" bestFit="1" customWidth="1"/>
    <col min="1541" max="1543" width="13.5703125" style="10" bestFit="1" customWidth="1"/>
    <col min="1544" max="1544" width="14.5703125" style="10" bestFit="1" customWidth="1"/>
    <col min="1545" max="1545" width="13" style="10" bestFit="1" customWidth="1"/>
    <col min="1546" max="1546" width="14.5703125" style="10" bestFit="1" customWidth="1"/>
    <col min="1547" max="1547" width="15.140625" style="10" bestFit="1" customWidth="1"/>
    <col min="1548" max="1548" width="11.5703125" style="10" bestFit="1" customWidth="1"/>
    <col min="1549" max="1772" width="11.42578125" style="10"/>
    <col min="1773" max="1773" width="34" style="10" customWidth="1"/>
    <col min="1774" max="1774" width="16.7109375" style="10" customWidth="1"/>
    <col min="1775" max="1775" width="16.28515625" style="10" bestFit="1" customWidth="1"/>
    <col min="1776" max="1776" width="16.140625" style="10" customWidth="1"/>
    <col min="1777" max="1777" width="16.28515625" style="10" bestFit="1" customWidth="1"/>
    <col min="1778" max="1778" width="16.5703125" style="10" customWidth="1"/>
    <col min="1779" max="1780" width="17.7109375" style="10" customWidth="1"/>
    <col min="1781" max="1783" width="16.28515625" style="10" bestFit="1" customWidth="1"/>
    <col min="1784" max="1785" width="16.5703125" style="10" bestFit="1" customWidth="1"/>
    <col min="1786" max="1786" width="20.140625" style="10" bestFit="1" customWidth="1"/>
    <col min="1787" max="1787" width="17.7109375" style="10" bestFit="1" customWidth="1"/>
    <col min="1788" max="1788" width="18.140625" style="10" customWidth="1"/>
    <col min="1789" max="1789" width="17.7109375" style="10" bestFit="1" customWidth="1"/>
    <col min="1790" max="1790" width="20.85546875" style="10" bestFit="1" customWidth="1"/>
    <col min="1791" max="1791" width="20.28515625" style="10" bestFit="1" customWidth="1"/>
    <col min="1792" max="1792" width="21.42578125" style="10" bestFit="1" customWidth="1"/>
    <col min="1793" max="1793" width="20.28515625" style="10" bestFit="1" customWidth="1"/>
    <col min="1794" max="1794" width="16.7109375" style="10" bestFit="1" customWidth="1"/>
    <col min="1795" max="1795" width="15.85546875" style="10" bestFit="1" customWidth="1"/>
    <col min="1796" max="1796" width="17" style="10" bestFit="1" customWidth="1"/>
    <col min="1797" max="1799" width="13.5703125" style="10" bestFit="1" customWidth="1"/>
    <col min="1800" max="1800" width="14.5703125" style="10" bestFit="1" customWidth="1"/>
    <col min="1801" max="1801" width="13" style="10" bestFit="1" customWidth="1"/>
    <col min="1802" max="1802" width="14.5703125" style="10" bestFit="1" customWidth="1"/>
    <col min="1803" max="1803" width="15.140625" style="10" bestFit="1" customWidth="1"/>
    <col min="1804" max="1804" width="11.5703125" style="10" bestFit="1" customWidth="1"/>
    <col min="1805" max="2028" width="11.42578125" style="10"/>
    <col min="2029" max="2029" width="34" style="10" customWidth="1"/>
    <col min="2030" max="2030" width="16.7109375" style="10" customWidth="1"/>
    <col min="2031" max="2031" width="16.28515625" style="10" bestFit="1" customWidth="1"/>
    <col min="2032" max="2032" width="16.140625" style="10" customWidth="1"/>
    <col min="2033" max="2033" width="16.28515625" style="10" bestFit="1" customWidth="1"/>
    <col min="2034" max="2034" width="16.5703125" style="10" customWidth="1"/>
    <col min="2035" max="2036" width="17.7109375" style="10" customWidth="1"/>
    <col min="2037" max="2039" width="16.28515625" style="10" bestFit="1" customWidth="1"/>
    <col min="2040" max="2041" width="16.5703125" style="10" bestFit="1" customWidth="1"/>
    <col min="2042" max="2042" width="20.140625" style="10" bestFit="1" customWidth="1"/>
    <col min="2043" max="2043" width="17.7109375" style="10" bestFit="1" customWidth="1"/>
    <col min="2044" max="2044" width="18.140625" style="10" customWidth="1"/>
    <col min="2045" max="2045" width="17.7109375" style="10" bestFit="1" customWidth="1"/>
    <col min="2046" max="2046" width="20.85546875" style="10" bestFit="1" customWidth="1"/>
    <col min="2047" max="2047" width="20.28515625" style="10" bestFit="1" customWidth="1"/>
    <col min="2048" max="2048" width="21.42578125" style="10" bestFit="1" customWidth="1"/>
    <col min="2049" max="2049" width="20.28515625" style="10" bestFit="1" customWidth="1"/>
    <col min="2050" max="2050" width="16.7109375" style="10" bestFit="1" customWidth="1"/>
    <col min="2051" max="2051" width="15.85546875" style="10" bestFit="1" customWidth="1"/>
    <col min="2052" max="2052" width="17" style="10" bestFit="1" customWidth="1"/>
    <col min="2053" max="2055" width="13.5703125" style="10" bestFit="1" customWidth="1"/>
    <col min="2056" max="2056" width="14.5703125" style="10" bestFit="1" customWidth="1"/>
    <col min="2057" max="2057" width="13" style="10" bestFit="1" customWidth="1"/>
    <col min="2058" max="2058" width="14.5703125" style="10" bestFit="1" customWidth="1"/>
    <col min="2059" max="2059" width="15.140625" style="10" bestFit="1" customWidth="1"/>
    <col min="2060" max="2060" width="11.5703125" style="10" bestFit="1" customWidth="1"/>
    <col min="2061" max="2284" width="11.42578125" style="10"/>
    <col min="2285" max="2285" width="34" style="10" customWidth="1"/>
    <col min="2286" max="2286" width="16.7109375" style="10" customWidth="1"/>
    <col min="2287" max="2287" width="16.28515625" style="10" bestFit="1" customWidth="1"/>
    <col min="2288" max="2288" width="16.140625" style="10" customWidth="1"/>
    <col min="2289" max="2289" width="16.28515625" style="10" bestFit="1" customWidth="1"/>
    <col min="2290" max="2290" width="16.5703125" style="10" customWidth="1"/>
    <col min="2291" max="2292" width="17.7109375" style="10" customWidth="1"/>
    <col min="2293" max="2295" width="16.28515625" style="10" bestFit="1" customWidth="1"/>
    <col min="2296" max="2297" width="16.5703125" style="10" bestFit="1" customWidth="1"/>
    <col min="2298" max="2298" width="20.140625" style="10" bestFit="1" customWidth="1"/>
    <col min="2299" max="2299" width="17.7109375" style="10" bestFit="1" customWidth="1"/>
    <col min="2300" max="2300" width="18.140625" style="10" customWidth="1"/>
    <col min="2301" max="2301" width="17.7109375" style="10" bestFit="1" customWidth="1"/>
    <col min="2302" max="2302" width="20.85546875" style="10" bestFit="1" customWidth="1"/>
    <col min="2303" max="2303" width="20.28515625" style="10" bestFit="1" customWidth="1"/>
    <col min="2304" max="2304" width="21.42578125" style="10" bestFit="1" customWidth="1"/>
    <col min="2305" max="2305" width="20.28515625" style="10" bestFit="1" customWidth="1"/>
    <col min="2306" max="2306" width="16.7109375" style="10" bestFit="1" customWidth="1"/>
    <col min="2307" max="2307" width="15.85546875" style="10" bestFit="1" customWidth="1"/>
    <col min="2308" max="2308" width="17" style="10" bestFit="1" customWidth="1"/>
    <col min="2309" max="2311" width="13.5703125" style="10" bestFit="1" customWidth="1"/>
    <col min="2312" max="2312" width="14.5703125" style="10" bestFit="1" customWidth="1"/>
    <col min="2313" max="2313" width="13" style="10" bestFit="1" customWidth="1"/>
    <col min="2314" max="2314" width="14.5703125" style="10" bestFit="1" customWidth="1"/>
    <col min="2315" max="2315" width="15.140625" style="10" bestFit="1" customWidth="1"/>
    <col min="2316" max="2316" width="11.5703125" style="10" bestFit="1" customWidth="1"/>
    <col min="2317" max="2540" width="11.42578125" style="10"/>
    <col min="2541" max="2541" width="34" style="10" customWidth="1"/>
    <col min="2542" max="2542" width="16.7109375" style="10" customWidth="1"/>
    <col min="2543" max="2543" width="16.28515625" style="10" bestFit="1" customWidth="1"/>
    <col min="2544" max="2544" width="16.140625" style="10" customWidth="1"/>
    <col min="2545" max="2545" width="16.28515625" style="10" bestFit="1" customWidth="1"/>
    <col min="2546" max="2546" width="16.5703125" style="10" customWidth="1"/>
    <col min="2547" max="2548" width="17.7109375" style="10" customWidth="1"/>
    <col min="2549" max="2551" width="16.28515625" style="10" bestFit="1" customWidth="1"/>
    <col min="2552" max="2553" width="16.5703125" style="10" bestFit="1" customWidth="1"/>
    <col min="2554" max="2554" width="20.140625" style="10" bestFit="1" customWidth="1"/>
    <col min="2555" max="2555" width="17.7109375" style="10" bestFit="1" customWidth="1"/>
    <col min="2556" max="2556" width="18.140625" style="10" customWidth="1"/>
    <col min="2557" max="2557" width="17.7109375" style="10" bestFit="1" customWidth="1"/>
    <col min="2558" max="2558" width="20.85546875" style="10" bestFit="1" customWidth="1"/>
    <col min="2559" max="2559" width="20.28515625" style="10" bestFit="1" customWidth="1"/>
    <col min="2560" max="2560" width="21.42578125" style="10" bestFit="1" customWidth="1"/>
    <col min="2561" max="2561" width="20.28515625" style="10" bestFit="1" customWidth="1"/>
    <col min="2562" max="2562" width="16.7109375" style="10" bestFit="1" customWidth="1"/>
    <col min="2563" max="2563" width="15.85546875" style="10" bestFit="1" customWidth="1"/>
    <col min="2564" max="2564" width="17" style="10" bestFit="1" customWidth="1"/>
    <col min="2565" max="2567" width="13.5703125" style="10" bestFit="1" customWidth="1"/>
    <col min="2568" max="2568" width="14.5703125" style="10" bestFit="1" customWidth="1"/>
    <col min="2569" max="2569" width="13" style="10" bestFit="1" customWidth="1"/>
    <col min="2570" max="2570" width="14.5703125" style="10" bestFit="1" customWidth="1"/>
    <col min="2571" max="2571" width="15.140625" style="10" bestFit="1" customWidth="1"/>
    <col min="2572" max="2572" width="11.5703125" style="10" bestFit="1" customWidth="1"/>
    <col min="2573" max="2796" width="11.42578125" style="10"/>
    <col min="2797" max="2797" width="34" style="10" customWidth="1"/>
    <col min="2798" max="2798" width="16.7109375" style="10" customWidth="1"/>
    <col min="2799" max="2799" width="16.28515625" style="10" bestFit="1" customWidth="1"/>
    <col min="2800" max="2800" width="16.140625" style="10" customWidth="1"/>
    <col min="2801" max="2801" width="16.28515625" style="10" bestFit="1" customWidth="1"/>
    <col min="2802" max="2802" width="16.5703125" style="10" customWidth="1"/>
    <col min="2803" max="2804" width="17.7109375" style="10" customWidth="1"/>
    <col min="2805" max="2807" width="16.28515625" style="10" bestFit="1" customWidth="1"/>
    <col min="2808" max="2809" width="16.5703125" style="10" bestFit="1" customWidth="1"/>
    <col min="2810" max="2810" width="20.140625" style="10" bestFit="1" customWidth="1"/>
    <col min="2811" max="2811" width="17.7109375" style="10" bestFit="1" customWidth="1"/>
    <col min="2812" max="2812" width="18.140625" style="10" customWidth="1"/>
    <col min="2813" max="2813" width="17.7109375" style="10" bestFit="1" customWidth="1"/>
    <col min="2814" max="2814" width="20.85546875" style="10" bestFit="1" customWidth="1"/>
    <col min="2815" max="2815" width="20.28515625" style="10" bestFit="1" customWidth="1"/>
    <col min="2816" max="2816" width="21.42578125" style="10" bestFit="1" customWidth="1"/>
    <col min="2817" max="2817" width="20.28515625" style="10" bestFit="1" customWidth="1"/>
    <col min="2818" max="2818" width="16.7109375" style="10" bestFit="1" customWidth="1"/>
    <col min="2819" max="2819" width="15.85546875" style="10" bestFit="1" customWidth="1"/>
    <col min="2820" max="2820" width="17" style="10" bestFit="1" customWidth="1"/>
    <col min="2821" max="2823" width="13.5703125" style="10" bestFit="1" customWidth="1"/>
    <col min="2824" max="2824" width="14.5703125" style="10" bestFit="1" customWidth="1"/>
    <col min="2825" max="2825" width="13" style="10" bestFit="1" customWidth="1"/>
    <col min="2826" max="2826" width="14.5703125" style="10" bestFit="1" customWidth="1"/>
    <col min="2827" max="2827" width="15.140625" style="10" bestFit="1" customWidth="1"/>
    <col min="2828" max="2828" width="11.5703125" style="10" bestFit="1" customWidth="1"/>
    <col min="2829" max="3052" width="11.42578125" style="10"/>
    <col min="3053" max="3053" width="34" style="10" customWidth="1"/>
    <col min="3054" max="3054" width="16.7109375" style="10" customWidth="1"/>
    <col min="3055" max="3055" width="16.28515625" style="10" bestFit="1" customWidth="1"/>
    <col min="3056" max="3056" width="16.140625" style="10" customWidth="1"/>
    <col min="3057" max="3057" width="16.28515625" style="10" bestFit="1" customWidth="1"/>
    <col min="3058" max="3058" width="16.5703125" style="10" customWidth="1"/>
    <col min="3059" max="3060" width="17.7109375" style="10" customWidth="1"/>
    <col min="3061" max="3063" width="16.28515625" style="10" bestFit="1" customWidth="1"/>
    <col min="3064" max="3065" width="16.5703125" style="10" bestFit="1" customWidth="1"/>
    <col min="3066" max="3066" width="20.140625" style="10" bestFit="1" customWidth="1"/>
    <col min="3067" max="3067" width="17.7109375" style="10" bestFit="1" customWidth="1"/>
    <col min="3068" max="3068" width="18.140625" style="10" customWidth="1"/>
    <col min="3069" max="3069" width="17.7109375" style="10" bestFit="1" customWidth="1"/>
    <col min="3070" max="3070" width="20.85546875" style="10" bestFit="1" customWidth="1"/>
    <col min="3071" max="3071" width="20.28515625" style="10" bestFit="1" customWidth="1"/>
    <col min="3072" max="3072" width="21.42578125" style="10" bestFit="1" customWidth="1"/>
    <col min="3073" max="3073" width="20.28515625" style="10" bestFit="1" customWidth="1"/>
    <col min="3074" max="3074" width="16.7109375" style="10" bestFit="1" customWidth="1"/>
    <col min="3075" max="3075" width="15.85546875" style="10" bestFit="1" customWidth="1"/>
    <col min="3076" max="3076" width="17" style="10" bestFit="1" customWidth="1"/>
    <col min="3077" max="3079" width="13.5703125" style="10" bestFit="1" customWidth="1"/>
    <col min="3080" max="3080" width="14.5703125" style="10" bestFit="1" customWidth="1"/>
    <col min="3081" max="3081" width="13" style="10" bestFit="1" customWidth="1"/>
    <col min="3082" max="3082" width="14.5703125" style="10" bestFit="1" customWidth="1"/>
    <col min="3083" max="3083" width="15.140625" style="10" bestFit="1" customWidth="1"/>
    <col min="3084" max="3084" width="11.5703125" style="10" bestFit="1" customWidth="1"/>
    <col min="3085" max="3308" width="11.42578125" style="10"/>
    <col min="3309" max="3309" width="34" style="10" customWidth="1"/>
    <col min="3310" max="3310" width="16.7109375" style="10" customWidth="1"/>
    <col min="3311" max="3311" width="16.28515625" style="10" bestFit="1" customWidth="1"/>
    <col min="3312" max="3312" width="16.140625" style="10" customWidth="1"/>
    <col min="3313" max="3313" width="16.28515625" style="10" bestFit="1" customWidth="1"/>
    <col min="3314" max="3314" width="16.5703125" style="10" customWidth="1"/>
    <col min="3315" max="3316" width="17.7109375" style="10" customWidth="1"/>
    <col min="3317" max="3319" width="16.28515625" style="10" bestFit="1" customWidth="1"/>
    <col min="3320" max="3321" width="16.5703125" style="10" bestFit="1" customWidth="1"/>
    <col min="3322" max="3322" width="20.140625" style="10" bestFit="1" customWidth="1"/>
    <col min="3323" max="3323" width="17.7109375" style="10" bestFit="1" customWidth="1"/>
    <col min="3324" max="3324" width="18.140625" style="10" customWidth="1"/>
    <col min="3325" max="3325" width="17.7109375" style="10" bestFit="1" customWidth="1"/>
    <col min="3326" max="3326" width="20.85546875" style="10" bestFit="1" customWidth="1"/>
    <col min="3327" max="3327" width="20.28515625" style="10" bestFit="1" customWidth="1"/>
    <col min="3328" max="3328" width="21.42578125" style="10" bestFit="1" customWidth="1"/>
    <col min="3329" max="3329" width="20.28515625" style="10" bestFit="1" customWidth="1"/>
    <col min="3330" max="3330" width="16.7109375" style="10" bestFit="1" customWidth="1"/>
    <col min="3331" max="3331" width="15.85546875" style="10" bestFit="1" customWidth="1"/>
    <col min="3332" max="3332" width="17" style="10" bestFit="1" customWidth="1"/>
    <col min="3333" max="3335" width="13.5703125" style="10" bestFit="1" customWidth="1"/>
    <col min="3336" max="3336" width="14.5703125" style="10" bestFit="1" customWidth="1"/>
    <col min="3337" max="3337" width="13" style="10" bestFit="1" customWidth="1"/>
    <col min="3338" max="3338" width="14.5703125" style="10" bestFit="1" customWidth="1"/>
    <col min="3339" max="3339" width="15.140625" style="10" bestFit="1" customWidth="1"/>
    <col min="3340" max="3340" width="11.5703125" style="10" bestFit="1" customWidth="1"/>
    <col min="3341" max="3564" width="11.42578125" style="10"/>
    <col min="3565" max="3565" width="34" style="10" customWidth="1"/>
    <col min="3566" max="3566" width="16.7109375" style="10" customWidth="1"/>
    <col min="3567" max="3567" width="16.28515625" style="10" bestFit="1" customWidth="1"/>
    <col min="3568" max="3568" width="16.140625" style="10" customWidth="1"/>
    <col min="3569" max="3569" width="16.28515625" style="10" bestFit="1" customWidth="1"/>
    <col min="3570" max="3570" width="16.5703125" style="10" customWidth="1"/>
    <col min="3571" max="3572" width="17.7109375" style="10" customWidth="1"/>
    <col min="3573" max="3575" width="16.28515625" style="10" bestFit="1" customWidth="1"/>
    <col min="3576" max="3577" width="16.5703125" style="10" bestFit="1" customWidth="1"/>
    <col min="3578" max="3578" width="20.140625" style="10" bestFit="1" customWidth="1"/>
    <col min="3579" max="3579" width="17.7109375" style="10" bestFit="1" customWidth="1"/>
    <col min="3580" max="3580" width="18.140625" style="10" customWidth="1"/>
    <col min="3581" max="3581" width="17.7109375" style="10" bestFit="1" customWidth="1"/>
    <col min="3582" max="3582" width="20.85546875" style="10" bestFit="1" customWidth="1"/>
    <col min="3583" max="3583" width="20.28515625" style="10" bestFit="1" customWidth="1"/>
    <col min="3584" max="3584" width="21.42578125" style="10" bestFit="1" customWidth="1"/>
    <col min="3585" max="3585" width="20.28515625" style="10" bestFit="1" customWidth="1"/>
    <col min="3586" max="3586" width="16.7109375" style="10" bestFit="1" customWidth="1"/>
    <col min="3587" max="3587" width="15.85546875" style="10" bestFit="1" customWidth="1"/>
    <col min="3588" max="3588" width="17" style="10" bestFit="1" customWidth="1"/>
    <col min="3589" max="3591" width="13.5703125" style="10" bestFit="1" customWidth="1"/>
    <col min="3592" max="3592" width="14.5703125" style="10" bestFit="1" customWidth="1"/>
    <col min="3593" max="3593" width="13" style="10" bestFit="1" customWidth="1"/>
    <col min="3594" max="3594" width="14.5703125" style="10" bestFit="1" customWidth="1"/>
    <col min="3595" max="3595" width="15.140625" style="10" bestFit="1" customWidth="1"/>
    <col min="3596" max="3596" width="11.5703125" style="10" bestFit="1" customWidth="1"/>
    <col min="3597" max="3820" width="11.42578125" style="10"/>
    <col min="3821" max="3821" width="34" style="10" customWidth="1"/>
    <col min="3822" max="3822" width="16.7109375" style="10" customWidth="1"/>
    <col min="3823" max="3823" width="16.28515625" style="10" bestFit="1" customWidth="1"/>
    <col min="3824" max="3824" width="16.140625" style="10" customWidth="1"/>
    <col min="3825" max="3825" width="16.28515625" style="10" bestFit="1" customWidth="1"/>
    <col min="3826" max="3826" width="16.5703125" style="10" customWidth="1"/>
    <col min="3827" max="3828" width="17.7109375" style="10" customWidth="1"/>
    <col min="3829" max="3831" width="16.28515625" style="10" bestFit="1" customWidth="1"/>
    <col min="3832" max="3833" width="16.5703125" style="10" bestFit="1" customWidth="1"/>
    <col min="3834" max="3834" width="20.140625" style="10" bestFit="1" customWidth="1"/>
    <col min="3835" max="3835" width="17.7109375" style="10" bestFit="1" customWidth="1"/>
    <col min="3836" max="3836" width="18.140625" style="10" customWidth="1"/>
    <col min="3837" max="3837" width="17.7109375" style="10" bestFit="1" customWidth="1"/>
    <col min="3838" max="3838" width="20.85546875" style="10" bestFit="1" customWidth="1"/>
    <col min="3839" max="3839" width="20.28515625" style="10" bestFit="1" customWidth="1"/>
    <col min="3840" max="3840" width="21.42578125" style="10" bestFit="1" customWidth="1"/>
    <col min="3841" max="3841" width="20.28515625" style="10" bestFit="1" customWidth="1"/>
    <col min="3842" max="3842" width="16.7109375" style="10" bestFit="1" customWidth="1"/>
    <col min="3843" max="3843" width="15.85546875" style="10" bestFit="1" customWidth="1"/>
    <col min="3844" max="3844" width="17" style="10" bestFit="1" customWidth="1"/>
    <col min="3845" max="3847" width="13.5703125" style="10" bestFit="1" customWidth="1"/>
    <col min="3848" max="3848" width="14.5703125" style="10" bestFit="1" customWidth="1"/>
    <col min="3849" max="3849" width="13" style="10" bestFit="1" customWidth="1"/>
    <col min="3850" max="3850" width="14.5703125" style="10" bestFit="1" customWidth="1"/>
    <col min="3851" max="3851" width="15.140625" style="10" bestFit="1" customWidth="1"/>
    <col min="3852" max="3852" width="11.5703125" style="10" bestFit="1" customWidth="1"/>
    <col min="3853" max="4076" width="11.42578125" style="10"/>
    <col min="4077" max="4077" width="34" style="10" customWidth="1"/>
    <col min="4078" max="4078" width="16.7109375" style="10" customWidth="1"/>
    <col min="4079" max="4079" width="16.28515625" style="10" bestFit="1" customWidth="1"/>
    <col min="4080" max="4080" width="16.140625" style="10" customWidth="1"/>
    <col min="4081" max="4081" width="16.28515625" style="10" bestFit="1" customWidth="1"/>
    <col min="4082" max="4082" width="16.5703125" style="10" customWidth="1"/>
    <col min="4083" max="4084" width="17.7109375" style="10" customWidth="1"/>
    <col min="4085" max="4087" width="16.28515625" style="10" bestFit="1" customWidth="1"/>
    <col min="4088" max="4089" width="16.5703125" style="10" bestFit="1" customWidth="1"/>
    <col min="4090" max="4090" width="20.140625" style="10" bestFit="1" customWidth="1"/>
    <col min="4091" max="4091" width="17.7109375" style="10" bestFit="1" customWidth="1"/>
    <col min="4092" max="4092" width="18.140625" style="10" customWidth="1"/>
    <col min="4093" max="4093" width="17.7109375" style="10" bestFit="1" customWidth="1"/>
    <col min="4094" max="4094" width="20.85546875" style="10" bestFit="1" customWidth="1"/>
    <col min="4095" max="4095" width="20.28515625" style="10" bestFit="1" customWidth="1"/>
    <col min="4096" max="4096" width="21.42578125" style="10" bestFit="1" customWidth="1"/>
    <col min="4097" max="4097" width="20.28515625" style="10" bestFit="1" customWidth="1"/>
    <col min="4098" max="4098" width="16.7109375" style="10" bestFit="1" customWidth="1"/>
    <col min="4099" max="4099" width="15.85546875" style="10" bestFit="1" customWidth="1"/>
    <col min="4100" max="4100" width="17" style="10" bestFit="1" customWidth="1"/>
    <col min="4101" max="4103" width="13.5703125" style="10" bestFit="1" customWidth="1"/>
    <col min="4104" max="4104" width="14.5703125" style="10" bestFit="1" customWidth="1"/>
    <col min="4105" max="4105" width="13" style="10" bestFit="1" customWidth="1"/>
    <col min="4106" max="4106" width="14.5703125" style="10" bestFit="1" customWidth="1"/>
    <col min="4107" max="4107" width="15.140625" style="10" bestFit="1" customWidth="1"/>
    <col min="4108" max="4108" width="11.5703125" style="10" bestFit="1" customWidth="1"/>
    <col min="4109" max="4332" width="11.42578125" style="10"/>
    <col min="4333" max="4333" width="34" style="10" customWidth="1"/>
    <col min="4334" max="4334" width="16.7109375" style="10" customWidth="1"/>
    <col min="4335" max="4335" width="16.28515625" style="10" bestFit="1" customWidth="1"/>
    <col min="4336" max="4336" width="16.140625" style="10" customWidth="1"/>
    <col min="4337" max="4337" width="16.28515625" style="10" bestFit="1" customWidth="1"/>
    <col min="4338" max="4338" width="16.5703125" style="10" customWidth="1"/>
    <col min="4339" max="4340" width="17.7109375" style="10" customWidth="1"/>
    <col min="4341" max="4343" width="16.28515625" style="10" bestFit="1" customWidth="1"/>
    <col min="4344" max="4345" width="16.5703125" style="10" bestFit="1" customWidth="1"/>
    <col min="4346" max="4346" width="20.140625" style="10" bestFit="1" customWidth="1"/>
    <col min="4347" max="4347" width="17.7109375" style="10" bestFit="1" customWidth="1"/>
    <col min="4348" max="4348" width="18.140625" style="10" customWidth="1"/>
    <col min="4349" max="4349" width="17.7109375" style="10" bestFit="1" customWidth="1"/>
    <col min="4350" max="4350" width="20.85546875" style="10" bestFit="1" customWidth="1"/>
    <col min="4351" max="4351" width="20.28515625" style="10" bestFit="1" customWidth="1"/>
    <col min="4352" max="4352" width="21.42578125" style="10" bestFit="1" customWidth="1"/>
    <col min="4353" max="4353" width="20.28515625" style="10" bestFit="1" customWidth="1"/>
    <col min="4354" max="4354" width="16.7109375" style="10" bestFit="1" customWidth="1"/>
    <col min="4355" max="4355" width="15.85546875" style="10" bestFit="1" customWidth="1"/>
    <col min="4356" max="4356" width="17" style="10" bestFit="1" customWidth="1"/>
    <col min="4357" max="4359" width="13.5703125" style="10" bestFit="1" customWidth="1"/>
    <col min="4360" max="4360" width="14.5703125" style="10" bestFit="1" customWidth="1"/>
    <col min="4361" max="4361" width="13" style="10" bestFit="1" customWidth="1"/>
    <col min="4362" max="4362" width="14.5703125" style="10" bestFit="1" customWidth="1"/>
    <col min="4363" max="4363" width="15.140625" style="10" bestFit="1" customWidth="1"/>
    <col min="4364" max="4364" width="11.5703125" style="10" bestFit="1" customWidth="1"/>
    <col min="4365" max="4588" width="11.42578125" style="10"/>
    <col min="4589" max="4589" width="34" style="10" customWidth="1"/>
    <col min="4590" max="4590" width="16.7109375" style="10" customWidth="1"/>
    <col min="4591" max="4591" width="16.28515625" style="10" bestFit="1" customWidth="1"/>
    <col min="4592" max="4592" width="16.140625" style="10" customWidth="1"/>
    <col min="4593" max="4593" width="16.28515625" style="10" bestFit="1" customWidth="1"/>
    <col min="4594" max="4594" width="16.5703125" style="10" customWidth="1"/>
    <col min="4595" max="4596" width="17.7109375" style="10" customWidth="1"/>
    <col min="4597" max="4599" width="16.28515625" style="10" bestFit="1" customWidth="1"/>
    <col min="4600" max="4601" width="16.5703125" style="10" bestFit="1" customWidth="1"/>
    <col min="4602" max="4602" width="20.140625" style="10" bestFit="1" customWidth="1"/>
    <col min="4603" max="4603" width="17.7109375" style="10" bestFit="1" customWidth="1"/>
    <col min="4604" max="4604" width="18.140625" style="10" customWidth="1"/>
    <col min="4605" max="4605" width="17.7109375" style="10" bestFit="1" customWidth="1"/>
    <col min="4606" max="4606" width="20.85546875" style="10" bestFit="1" customWidth="1"/>
    <col min="4607" max="4607" width="20.28515625" style="10" bestFit="1" customWidth="1"/>
    <col min="4608" max="4608" width="21.42578125" style="10" bestFit="1" customWidth="1"/>
    <col min="4609" max="4609" width="20.28515625" style="10" bestFit="1" customWidth="1"/>
    <col min="4610" max="4610" width="16.7109375" style="10" bestFit="1" customWidth="1"/>
    <col min="4611" max="4611" width="15.85546875" style="10" bestFit="1" customWidth="1"/>
    <col min="4612" max="4612" width="17" style="10" bestFit="1" customWidth="1"/>
    <col min="4613" max="4615" width="13.5703125" style="10" bestFit="1" customWidth="1"/>
    <col min="4616" max="4616" width="14.5703125" style="10" bestFit="1" customWidth="1"/>
    <col min="4617" max="4617" width="13" style="10" bestFit="1" customWidth="1"/>
    <col min="4618" max="4618" width="14.5703125" style="10" bestFit="1" customWidth="1"/>
    <col min="4619" max="4619" width="15.140625" style="10" bestFit="1" customWidth="1"/>
    <col min="4620" max="4620" width="11.5703125" style="10" bestFit="1" customWidth="1"/>
    <col min="4621" max="4844" width="11.42578125" style="10"/>
    <col min="4845" max="4845" width="34" style="10" customWidth="1"/>
    <col min="4846" max="4846" width="16.7109375" style="10" customWidth="1"/>
    <col min="4847" max="4847" width="16.28515625" style="10" bestFit="1" customWidth="1"/>
    <col min="4848" max="4848" width="16.140625" style="10" customWidth="1"/>
    <col min="4849" max="4849" width="16.28515625" style="10" bestFit="1" customWidth="1"/>
    <col min="4850" max="4850" width="16.5703125" style="10" customWidth="1"/>
    <col min="4851" max="4852" width="17.7109375" style="10" customWidth="1"/>
    <col min="4853" max="4855" width="16.28515625" style="10" bestFit="1" customWidth="1"/>
    <col min="4856" max="4857" width="16.5703125" style="10" bestFit="1" customWidth="1"/>
    <col min="4858" max="4858" width="20.140625" style="10" bestFit="1" customWidth="1"/>
    <col min="4859" max="4859" width="17.7109375" style="10" bestFit="1" customWidth="1"/>
    <col min="4860" max="4860" width="18.140625" style="10" customWidth="1"/>
    <col min="4861" max="4861" width="17.7109375" style="10" bestFit="1" customWidth="1"/>
    <col min="4862" max="4862" width="20.85546875" style="10" bestFit="1" customWidth="1"/>
    <col min="4863" max="4863" width="20.28515625" style="10" bestFit="1" customWidth="1"/>
    <col min="4864" max="4864" width="21.42578125" style="10" bestFit="1" customWidth="1"/>
    <col min="4865" max="4865" width="20.28515625" style="10" bestFit="1" customWidth="1"/>
    <col min="4866" max="4866" width="16.7109375" style="10" bestFit="1" customWidth="1"/>
    <col min="4867" max="4867" width="15.85546875" style="10" bestFit="1" customWidth="1"/>
    <col min="4868" max="4868" width="17" style="10" bestFit="1" customWidth="1"/>
    <col min="4869" max="4871" width="13.5703125" style="10" bestFit="1" customWidth="1"/>
    <col min="4872" max="4872" width="14.5703125" style="10" bestFit="1" customWidth="1"/>
    <col min="4873" max="4873" width="13" style="10" bestFit="1" customWidth="1"/>
    <col min="4874" max="4874" width="14.5703125" style="10" bestFit="1" customWidth="1"/>
    <col min="4875" max="4875" width="15.140625" style="10" bestFit="1" customWidth="1"/>
    <col min="4876" max="4876" width="11.5703125" style="10" bestFit="1" customWidth="1"/>
    <col min="4877" max="5100" width="11.42578125" style="10"/>
    <col min="5101" max="5101" width="34" style="10" customWidth="1"/>
    <col min="5102" max="5102" width="16.7109375" style="10" customWidth="1"/>
    <col min="5103" max="5103" width="16.28515625" style="10" bestFit="1" customWidth="1"/>
    <col min="5104" max="5104" width="16.140625" style="10" customWidth="1"/>
    <col min="5105" max="5105" width="16.28515625" style="10" bestFit="1" customWidth="1"/>
    <col min="5106" max="5106" width="16.5703125" style="10" customWidth="1"/>
    <col min="5107" max="5108" width="17.7109375" style="10" customWidth="1"/>
    <col min="5109" max="5111" width="16.28515625" style="10" bestFit="1" customWidth="1"/>
    <col min="5112" max="5113" width="16.5703125" style="10" bestFit="1" customWidth="1"/>
    <col min="5114" max="5114" width="20.140625" style="10" bestFit="1" customWidth="1"/>
    <col min="5115" max="5115" width="17.7109375" style="10" bestFit="1" customWidth="1"/>
    <col min="5116" max="5116" width="18.140625" style="10" customWidth="1"/>
    <col min="5117" max="5117" width="17.7109375" style="10" bestFit="1" customWidth="1"/>
    <col min="5118" max="5118" width="20.85546875" style="10" bestFit="1" customWidth="1"/>
    <col min="5119" max="5119" width="20.28515625" style="10" bestFit="1" customWidth="1"/>
    <col min="5120" max="5120" width="21.42578125" style="10" bestFit="1" customWidth="1"/>
    <col min="5121" max="5121" width="20.28515625" style="10" bestFit="1" customWidth="1"/>
    <col min="5122" max="5122" width="16.7109375" style="10" bestFit="1" customWidth="1"/>
    <col min="5123" max="5123" width="15.85546875" style="10" bestFit="1" customWidth="1"/>
    <col min="5124" max="5124" width="17" style="10" bestFit="1" customWidth="1"/>
    <col min="5125" max="5127" width="13.5703125" style="10" bestFit="1" customWidth="1"/>
    <col min="5128" max="5128" width="14.5703125" style="10" bestFit="1" customWidth="1"/>
    <col min="5129" max="5129" width="13" style="10" bestFit="1" customWidth="1"/>
    <col min="5130" max="5130" width="14.5703125" style="10" bestFit="1" customWidth="1"/>
    <col min="5131" max="5131" width="15.140625" style="10" bestFit="1" customWidth="1"/>
    <col min="5132" max="5132" width="11.5703125" style="10" bestFit="1" customWidth="1"/>
    <col min="5133" max="5356" width="11.42578125" style="10"/>
    <col min="5357" max="5357" width="34" style="10" customWidth="1"/>
    <col min="5358" max="5358" width="16.7109375" style="10" customWidth="1"/>
    <col min="5359" max="5359" width="16.28515625" style="10" bestFit="1" customWidth="1"/>
    <col min="5360" max="5360" width="16.140625" style="10" customWidth="1"/>
    <col min="5361" max="5361" width="16.28515625" style="10" bestFit="1" customWidth="1"/>
    <col min="5362" max="5362" width="16.5703125" style="10" customWidth="1"/>
    <col min="5363" max="5364" width="17.7109375" style="10" customWidth="1"/>
    <col min="5365" max="5367" width="16.28515625" style="10" bestFit="1" customWidth="1"/>
    <col min="5368" max="5369" width="16.5703125" style="10" bestFit="1" customWidth="1"/>
    <col min="5370" max="5370" width="20.140625" style="10" bestFit="1" customWidth="1"/>
    <col min="5371" max="5371" width="17.7109375" style="10" bestFit="1" customWidth="1"/>
    <col min="5372" max="5372" width="18.140625" style="10" customWidth="1"/>
    <col min="5373" max="5373" width="17.7109375" style="10" bestFit="1" customWidth="1"/>
    <col min="5374" max="5374" width="20.85546875" style="10" bestFit="1" customWidth="1"/>
    <col min="5375" max="5375" width="20.28515625" style="10" bestFit="1" customWidth="1"/>
    <col min="5376" max="5376" width="21.42578125" style="10" bestFit="1" customWidth="1"/>
    <col min="5377" max="5377" width="20.28515625" style="10" bestFit="1" customWidth="1"/>
    <col min="5378" max="5378" width="16.7109375" style="10" bestFit="1" customWidth="1"/>
    <col min="5379" max="5379" width="15.85546875" style="10" bestFit="1" customWidth="1"/>
    <col min="5380" max="5380" width="17" style="10" bestFit="1" customWidth="1"/>
    <col min="5381" max="5383" width="13.5703125" style="10" bestFit="1" customWidth="1"/>
    <col min="5384" max="5384" width="14.5703125" style="10" bestFit="1" customWidth="1"/>
    <col min="5385" max="5385" width="13" style="10" bestFit="1" customWidth="1"/>
    <col min="5386" max="5386" width="14.5703125" style="10" bestFit="1" customWidth="1"/>
    <col min="5387" max="5387" width="15.140625" style="10" bestFit="1" customWidth="1"/>
    <col min="5388" max="5388" width="11.5703125" style="10" bestFit="1" customWidth="1"/>
    <col min="5389" max="5612" width="11.42578125" style="10"/>
    <col min="5613" max="5613" width="34" style="10" customWidth="1"/>
    <col min="5614" max="5614" width="16.7109375" style="10" customWidth="1"/>
    <col min="5615" max="5615" width="16.28515625" style="10" bestFit="1" customWidth="1"/>
    <col min="5616" max="5616" width="16.140625" style="10" customWidth="1"/>
    <col min="5617" max="5617" width="16.28515625" style="10" bestFit="1" customWidth="1"/>
    <col min="5618" max="5618" width="16.5703125" style="10" customWidth="1"/>
    <col min="5619" max="5620" width="17.7109375" style="10" customWidth="1"/>
    <col min="5621" max="5623" width="16.28515625" style="10" bestFit="1" customWidth="1"/>
    <col min="5624" max="5625" width="16.5703125" style="10" bestFit="1" customWidth="1"/>
    <col min="5626" max="5626" width="20.140625" style="10" bestFit="1" customWidth="1"/>
    <col min="5627" max="5627" width="17.7109375" style="10" bestFit="1" customWidth="1"/>
    <col min="5628" max="5628" width="18.140625" style="10" customWidth="1"/>
    <col min="5629" max="5629" width="17.7109375" style="10" bestFit="1" customWidth="1"/>
    <col min="5630" max="5630" width="20.85546875" style="10" bestFit="1" customWidth="1"/>
    <col min="5631" max="5631" width="20.28515625" style="10" bestFit="1" customWidth="1"/>
    <col min="5632" max="5632" width="21.42578125" style="10" bestFit="1" customWidth="1"/>
    <col min="5633" max="5633" width="20.28515625" style="10" bestFit="1" customWidth="1"/>
    <col min="5634" max="5634" width="16.7109375" style="10" bestFit="1" customWidth="1"/>
    <col min="5635" max="5635" width="15.85546875" style="10" bestFit="1" customWidth="1"/>
    <col min="5636" max="5636" width="17" style="10" bestFit="1" customWidth="1"/>
    <col min="5637" max="5639" width="13.5703125" style="10" bestFit="1" customWidth="1"/>
    <col min="5640" max="5640" width="14.5703125" style="10" bestFit="1" customWidth="1"/>
    <col min="5641" max="5641" width="13" style="10" bestFit="1" customWidth="1"/>
    <col min="5642" max="5642" width="14.5703125" style="10" bestFit="1" customWidth="1"/>
    <col min="5643" max="5643" width="15.140625" style="10" bestFit="1" customWidth="1"/>
    <col min="5644" max="5644" width="11.5703125" style="10" bestFit="1" customWidth="1"/>
    <col min="5645" max="5868" width="11.42578125" style="10"/>
    <col min="5869" max="5869" width="34" style="10" customWidth="1"/>
    <col min="5870" max="5870" width="16.7109375" style="10" customWidth="1"/>
    <col min="5871" max="5871" width="16.28515625" style="10" bestFit="1" customWidth="1"/>
    <col min="5872" max="5872" width="16.140625" style="10" customWidth="1"/>
    <col min="5873" max="5873" width="16.28515625" style="10" bestFit="1" customWidth="1"/>
    <col min="5874" max="5874" width="16.5703125" style="10" customWidth="1"/>
    <col min="5875" max="5876" width="17.7109375" style="10" customWidth="1"/>
    <col min="5877" max="5879" width="16.28515625" style="10" bestFit="1" customWidth="1"/>
    <col min="5880" max="5881" width="16.5703125" style="10" bestFit="1" customWidth="1"/>
    <col min="5882" max="5882" width="20.140625" style="10" bestFit="1" customWidth="1"/>
    <col min="5883" max="5883" width="17.7109375" style="10" bestFit="1" customWidth="1"/>
    <col min="5884" max="5884" width="18.140625" style="10" customWidth="1"/>
    <col min="5885" max="5885" width="17.7109375" style="10" bestFit="1" customWidth="1"/>
    <col min="5886" max="5886" width="20.85546875" style="10" bestFit="1" customWidth="1"/>
    <col min="5887" max="5887" width="20.28515625" style="10" bestFit="1" customWidth="1"/>
    <col min="5888" max="5888" width="21.42578125" style="10" bestFit="1" customWidth="1"/>
    <col min="5889" max="5889" width="20.28515625" style="10" bestFit="1" customWidth="1"/>
    <col min="5890" max="5890" width="16.7109375" style="10" bestFit="1" customWidth="1"/>
    <col min="5891" max="5891" width="15.85546875" style="10" bestFit="1" customWidth="1"/>
    <col min="5892" max="5892" width="17" style="10" bestFit="1" customWidth="1"/>
    <col min="5893" max="5895" width="13.5703125" style="10" bestFit="1" customWidth="1"/>
    <col min="5896" max="5896" width="14.5703125" style="10" bestFit="1" customWidth="1"/>
    <col min="5897" max="5897" width="13" style="10" bestFit="1" customWidth="1"/>
    <col min="5898" max="5898" width="14.5703125" style="10" bestFit="1" customWidth="1"/>
    <col min="5899" max="5899" width="15.140625" style="10" bestFit="1" customWidth="1"/>
    <col min="5900" max="5900" width="11.5703125" style="10" bestFit="1" customWidth="1"/>
    <col min="5901" max="6124" width="11.42578125" style="10"/>
    <col min="6125" max="6125" width="34" style="10" customWidth="1"/>
    <col min="6126" max="6126" width="16.7109375" style="10" customWidth="1"/>
    <col min="6127" max="6127" width="16.28515625" style="10" bestFit="1" customWidth="1"/>
    <col min="6128" max="6128" width="16.140625" style="10" customWidth="1"/>
    <col min="6129" max="6129" width="16.28515625" style="10" bestFit="1" customWidth="1"/>
    <col min="6130" max="6130" width="16.5703125" style="10" customWidth="1"/>
    <col min="6131" max="6132" width="17.7109375" style="10" customWidth="1"/>
    <col min="6133" max="6135" width="16.28515625" style="10" bestFit="1" customWidth="1"/>
    <col min="6136" max="6137" width="16.5703125" style="10" bestFit="1" customWidth="1"/>
    <col min="6138" max="6138" width="20.140625" style="10" bestFit="1" customWidth="1"/>
    <col min="6139" max="6139" width="17.7109375" style="10" bestFit="1" customWidth="1"/>
    <col min="6140" max="6140" width="18.140625" style="10" customWidth="1"/>
    <col min="6141" max="6141" width="17.7109375" style="10" bestFit="1" customWidth="1"/>
    <col min="6142" max="6142" width="20.85546875" style="10" bestFit="1" customWidth="1"/>
    <col min="6143" max="6143" width="20.28515625" style="10" bestFit="1" customWidth="1"/>
    <col min="6144" max="6144" width="21.42578125" style="10" bestFit="1" customWidth="1"/>
    <col min="6145" max="6145" width="20.28515625" style="10" bestFit="1" customWidth="1"/>
    <col min="6146" max="6146" width="16.7109375" style="10" bestFit="1" customWidth="1"/>
    <col min="6147" max="6147" width="15.85546875" style="10" bestFit="1" customWidth="1"/>
    <col min="6148" max="6148" width="17" style="10" bestFit="1" customWidth="1"/>
    <col min="6149" max="6151" width="13.5703125" style="10" bestFit="1" customWidth="1"/>
    <col min="6152" max="6152" width="14.5703125" style="10" bestFit="1" customWidth="1"/>
    <col min="6153" max="6153" width="13" style="10" bestFit="1" customWidth="1"/>
    <col min="6154" max="6154" width="14.5703125" style="10" bestFit="1" customWidth="1"/>
    <col min="6155" max="6155" width="15.140625" style="10" bestFit="1" customWidth="1"/>
    <col min="6156" max="6156" width="11.5703125" style="10" bestFit="1" customWidth="1"/>
    <col min="6157" max="6380" width="11.42578125" style="10"/>
    <col min="6381" max="6381" width="34" style="10" customWidth="1"/>
    <col min="6382" max="6382" width="16.7109375" style="10" customWidth="1"/>
    <col min="6383" max="6383" width="16.28515625" style="10" bestFit="1" customWidth="1"/>
    <col min="6384" max="6384" width="16.140625" style="10" customWidth="1"/>
    <col min="6385" max="6385" width="16.28515625" style="10" bestFit="1" customWidth="1"/>
    <col min="6386" max="6386" width="16.5703125" style="10" customWidth="1"/>
    <col min="6387" max="6388" width="17.7109375" style="10" customWidth="1"/>
    <col min="6389" max="6391" width="16.28515625" style="10" bestFit="1" customWidth="1"/>
    <col min="6392" max="6393" width="16.5703125" style="10" bestFit="1" customWidth="1"/>
    <col min="6394" max="6394" width="20.140625" style="10" bestFit="1" customWidth="1"/>
    <col min="6395" max="6395" width="17.7109375" style="10" bestFit="1" customWidth="1"/>
    <col min="6396" max="6396" width="18.140625" style="10" customWidth="1"/>
    <col min="6397" max="6397" width="17.7109375" style="10" bestFit="1" customWidth="1"/>
    <col min="6398" max="6398" width="20.85546875" style="10" bestFit="1" customWidth="1"/>
    <col min="6399" max="6399" width="20.28515625" style="10" bestFit="1" customWidth="1"/>
    <col min="6400" max="6400" width="21.42578125" style="10" bestFit="1" customWidth="1"/>
    <col min="6401" max="6401" width="20.28515625" style="10" bestFit="1" customWidth="1"/>
    <col min="6402" max="6402" width="16.7109375" style="10" bestFit="1" customWidth="1"/>
    <col min="6403" max="6403" width="15.85546875" style="10" bestFit="1" customWidth="1"/>
    <col min="6404" max="6404" width="17" style="10" bestFit="1" customWidth="1"/>
    <col min="6405" max="6407" width="13.5703125" style="10" bestFit="1" customWidth="1"/>
    <col min="6408" max="6408" width="14.5703125" style="10" bestFit="1" customWidth="1"/>
    <col min="6409" max="6409" width="13" style="10" bestFit="1" customWidth="1"/>
    <col min="6410" max="6410" width="14.5703125" style="10" bestFit="1" customWidth="1"/>
    <col min="6411" max="6411" width="15.140625" style="10" bestFit="1" customWidth="1"/>
    <col min="6412" max="6412" width="11.5703125" style="10" bestFit="1" customWidth="1"/>
    <col min="6413" max="6636" width="11.42578125" style="10"/>
    <col min="6637" max="6637" width="34" style="10" customWidth="1"/>
    <col min="6638" max="6638" width="16.7109375" style="10" customWidth="1"/>
    <col min="6639" max="6639" width="16.28515625" style="10" bestFit="1" customWidth="1"/>
    <col min="6640" max="6640" width="16.140625" style="10" customWidth="1"/>
    <col min="6641" max="6641" width="16.28515625" style="10" bestFit="1" customWidth="1"/>
    <col min="6642" max="6642" width="16.5703125" style="10" customWidth="1"/>
    <col min="6643" max="6644" width="17.7109375" style="10" customWidth="1"/>
    <col min="6645" max="6647" width="16.28515625" style="10" bestFit="1" customWidth="1"/>
    <col min="6648" max="6649" width="16.5703125" style="10" bestFit="1" customWidth="1"/>
    <col min="6650" max="6650" width="20.140625" style="10" bestFit="1" customWidth="1"/>
    <col min="6651" max="6651" width="17.7109375" style="10" bestFit="1" customWidth="1"/>
    <col min="6652" max="6652" width="18.140625" style="10" customWidth="1"/>
    <col min="6653" max="6653" width="17.7109375" style="10" bestFit="1" customWidth="1"/>
    <col min="6654" max="6654" width="20.85546875" style="10" bestFit="1" customWidth="1"/>
    <col min="6655" max="6655" width="20.28515625" style="10" bestFit="1" customWidth="1"/>
    <col min="6656" max="6656" width="21.42578125" style="10" bestFit="1" customWidth="1"/>
    <col min="6657" max="6657" width="20.28515625" style="10" bestFit="1" customWidth="1"/>
    <col min="6658" max="6658" width="16.7109375" style="10" bestFit="1" customWidth="1"/>
    <col min="6659" max="6659" width="15.85546875" style="10" bestFit="1" customWidth="1"/>
    <col min="6660" max="6660" width="17" style="10" bestFit="1" customWidth="1"/>
    <col min="6661" max="6663" width="13.5703125" style="10" bestFit="1" customWidth="1"/>
    <col min="6664" max="6664" width="14.5703125" style="10" bestFit="1" customWidth="1"/>
    <col min="6665" max="6665" width="13" style="10" bestFit="1" customWidth="1"/>
    <col min="6666" max="6666" width="14.5703125" style="10" bestFit="1" customWidth="1"/>
    <col min="6667" max="6667" width="15.140625" style="10" bestFit="1" customWidth="1"/>
    <col min="6668" max="6668" width="11.5703125" style="10" bestFit="1" customWidth="1"/>
    <col min="6669" max="6892" width="11.42578125" style="10"/>
    <col min="6893" max="6893" width="34" style="10" customWidth="1"/>
    <col min="6894" max="6894" width="16.7109375" style="10" customWidth="1"/>
    <col min="6895" max="6895" width="16.28515625" style="10" bestFit="1" customWidth="1"/>
    <col min="6896" max="6896" width="16.140625" style="10" customWidth="1"/>
    <col min="6897" max="6897" width="16.28515625" style="10" bestFit="1" customWidth="1"/>
    <col min="6898" max="6898" width="16.5703125" style="10" customWidth="1"/>
    <col min="6899" max="6900" width="17.7109375" style="10" customWidth="1"/>
    <col min="6901" max="6903" width="16.28515625" style="10" bestFit="1" customWidth="1"/>
    <col min="6904" max="6905" width="16.5703125" style="10" bestFit="1" customWidth="1"/>
    <col min="6906" max="6906" width="20.140625" style="10" bestFit="1" customWidth="1"/>
    <col min="6907" max="6907" width="17.7109375" style="10" bestFit="1" customWidth="1"/>
    <col min="6908" max="6908" width="18.140625" style="10" customWidth="1"/>
    <col min="6909" max="6909" width="17.7109375" style="10" bestFit="1" customWidth="1"/>
    <col min="6910" max="6910" width="20.85546875" style="10" bestFit="1" customWidth="1"/>
    <col min="6911" max="6911" width="20.28515625" style="10" bestFit="1" customWidth="1"/>
    <col min="6912" max="6912" width="21.42578125" style="10" bestFit="1" customWidth="1"/>
    <col min="6913" max="6913" width="20.28515625" style="10" bestFit="1" customWidth="1"/>
    <col min="6914" max="6914" width="16.7109375" style="10" bestFit="1" customWidth="1"/>
    <col min="6915" max="6915" width="15.85546875" style="10" bestFit="1" customWidth="1"/>
    <col min="6916" max="6916" width="17" style="10" bestFit="1" customWidth="1"/>
    <col min="6917" max="6919" width="13.5703125" style="10" bestFit="1" customWidth="1"/>
    <col min="6920" max="6920" width="14.5703125" style="10" bestFit="1" customWidth="1"/>
    <col min="6921" max="6921" width="13" style="10" bestFit="1" customWidth="1"/>
    <col min="6922" max="6922" width="14.5703125" style="10" bestFit="1" customWidth="1"/>
    <col min="6923" max="6923" width="15.140625" style="10" bestFit="1" customWidth="1"/>
    <col min="6924" max="6924" width="11.5703125" style="10" bestFit="1" customWidth="1"/>
    <col min="6925" max="7148" width="11.42578125" style="10"/>
    <col min="7149" max="7149" width="34" style="10" customWidth="1"/>
    <col min="7150" max="7150" width="16.7109375" style="10" customWidth="1"/>
    <col min="7151" max="7151" width="16.28515625" style="10" bestFit="1" customWidth="1"/>
    <col min="7152" max="7152" width="16.140625" style="10" customWidth="1"/>
    <col min="7153" max="7153" width="16.28515625" style="10" bestFit="1" customWidth="1"/>
    <col min="7154" max="7154" width="16.5703125" style="10" customWidth="1"/>
    <col min="7155" max="7156" width="17.7109375" style="10" customWidth="1"/>
    <col min="7157" max="7159" width="16.28515625" style="10" bestFit="1" customWidth="1"/>
    <col min="7160" max="7161" width="16.5703125" style="10" bestFit="1" customWidth="1"/>
    <col min="7162" max="7162" width="20.140625" style="10" bestFit="1" customWidth="1"/>
    <col min="7163" max="7163" width="17.7109375" style="10" bestFit="1" customWidth="1"/>
    <col min="7164" max="7164" width="18.140625" style="10" customWidth="1"/>
    <col min="7165" max="7165" width="17.7109375" style="10" bestFit="1" customWidth="1"/>
    <col min="7166" max="7166" width="20.85546875" style="10" bestFit="1" customWidth="1"/>
    <col min="7167" max="7167" width="20.28515625" style="10" bestFit="1" customWidth="1"/>
    <col min="7168" max="7168" width="21.42578125" style="10" bestFit="1" customWidth="1"/>
    <col min="7169" max="7169" width="20.28515625" style="10" bestFit="1" customWidth="1"/>
    <col min="7170" max="7170" width="16.7109375" style="10" bestFit="1" customWidth="1"/>
    <col min="7171" max="7171" width="15.85546875" style="10" bestFit="1" customWidth="1"/>
    <col min="7172" max="7172" width="17" style="10" bestFit="1" customWidth="1"/>
    <col min="7173" max="7175" width="13.5703125" style="10" bestFit="1" customWidth="1"/>
    <col min="7176" max="7176" width="14.5703125" style="10" bestFit="1" customWidth="1"/>
    <col min="7177" max="7177" width="13" style="10" bestFit="1" customWidth="1"/>
    <col min="7178" max="7178" width="14.5703125" style="10" bestFit="1" customWidth="1"/>
    <col min="7179" max="7179" width="15.140625" style="10" bestFit="1" customWidth="1"/>
    <col min="7180" max="7180" width="11.5703125" style="10" bestFit="1" customWidth="1"/>
    <col min="7181" max="7404" width="11.42578125" style="10"/>
    <col min="7405" max="7405" width="34" style="10" customWidth="1"/>
    <col min="7406" max="7406" width="16.7109375" style="10" customWidth="1"/>
    <col min="7407" max="7407" width="16.28515625" style="10" bestFit="1" customWidth="1"/>
    <col min="7408" max="7408" width="16.140625" style="10" customWidth="1"/>
    <col min="7409" max="7409" width="16.28515625" style="10" bestFit="1" customWidth="1"/>
    <col min="7410" max="7410" width="16.5703125" style="10" customWidth="1"/>
    <col min="7411" max="7412" width="17.7109375" style="10" customWidth="1"/>
    <col min="7413" max="7415" width="16.28515625" style="10" bestFit="1" customWidth="1"/>
    <col min="7416" max="7417" width="16.5703125" style="10" bestFit="1" customWidth="1"/>
    <col min="7418" max="7418" width="20.140625" style="10" bestFit="1" customWidth="1"/>
    <col min="7419" max="7419" width="17.7109375" style="10" bestFit="1" customWidth="1"/>
    <col min="7420" max="7420" width="18.140625" style="10" customWidth="1"/>
    <col min="7421" max="7421" width="17.7109375" style="10" bestFit="1" customWidth="1"/>
    <col min="7422" max="7422" width="20.85546875" style="10" bestFit="1" customWidth="1"/>
    <col min="7423" max="7423" width="20.28515625" style="10" bestFit="1" customWidth="1"/>
    <col min="7424" max="7424" width="21.42578125" style="10" bestFit="1" customWidth="1"/>
    <col min="7425" max="7425" width="20.28515625" style="10" bestFit="1" customWidth="1"/>
    <col min="7426" max="7426" width="16.7109375" style="10" bestFit="1" customWidth="1"/>
    <col min="7427" max="7427" width="15.85546875" style="10" bestFit="1" customWidth="1"/>
    <col min="7428" max="7428" width="17" style="10" bestFit="1" customWidth="1"/>
    <col min="7429" max="7431" width="13.5703125" style="10" bestFit="1" customWidth="1"/>
    <col min="7432" max="7432" width="14.5703125" style="10" bestFit="1" customWidth="1"/>
    <col min="7433" max="7433" width="13" style="10" bestFit="1" customWidth="1"/>
    <col min="7434" max="7434" width="14.5703125" style="10" bestFit="1" customWidth="1"/>
    <col min="7435" max="7435" width="15.140625" style="10" bestFit="1" customWidth="1"/>
    <col min="7436" max="7436" width="11.5703125" style="10" bestFit="1" customWidth="1"/>
    <col min="7437" max="7660" width="11.42578125" style="10"/>
    <col min="7661" max="7661" width="34" style="10" customWidth="1"/>
    <col min="7662" max="7662" width="16.7109375" style="10" customWidth="1"/>
    <col min="7663" max="7663" width="16.28515625" style="10" bestFit="1" customWidth="1"/>
    <col min="7664" max="7664" width="16.140625" style="10" customWidth="1"/>
    <col min="7665" max="7665" width="16.28515625" style="10" bestFit="1" customWidth="1"/>
    <col min="7666" max="7666" width="16.5703125" style="10" customWidth="1"/>
    <col min="7667" max="7668" width="17.7109375" style="10" customWidth="1"/>
    <col min="7669" max="7671" width="16.28515625" style="10" bestFit="1" customWidth="1"/>
    <col min="7672" max="7673" width="16.5703125" style="10" bestFit="1" customWidth="1"/>
    <col min="7674" max="7674" width="20.140625" style="10" bestFit="1" customWidth="1"/>
    <col min="7675" max="7675" width="17.7109375" style="10" bestFit="1" customWidth="1"/>
    <col min="7676" max="7676" width="18.140625" style="10" customWidth="1"/>
    <col min="7677" max="7677" width="17.7109375" style="10" bestFit="1" customWidth="1"/>
    <col min="7678" max="7678" width="20.85546875" style="10" bestFit="1" customWidth="1"/>
    <col min="7679" max="7679" width="20.28515625" style="10" bestFit="1" customWidth="1"/>
    <col min="7680" max="7680" width="21.42578125" style="10" bestFit="1" customWidth="1"/>
    <col min="7681" max="7681" width="20.28515625" style="10" bestFit="1" customWidth="1"/>
    <col min="7682" max="7682" width="16.7109375" style="10" bestFit="1" customWidth="1"/>
    <col min="7683" max="7683" width="15.85546875" style="10" bestFit="1" customWidth="1"/>
    <col min="7684" max="7684" width="17" style="10" bestFit="1" customWidth="1"/>
    <col min="7685" max="7687" width="13.5703125" style="10" bestFit="1" customWidth="1"/>
    <col min="7688" max="7688" width="14.5703125" style="10" bestFit="1" customWidth="1"/>
    <col min="7689" max="7689" width="13" style="10" bestFit="1" customWidth="1"/>
    <col min="7690" max="7690" width="14.5703125" style="10" bestFit="1" customWidth="1"/>
    <col min="7691" max="7691" width="15.140625" style="10" bestFit="1" customWidth="1"/>
    <col min="7692" max="7692" width="11.5703125" style="10" bestFit="1" customWidth="1"/>
    <col min="7693" max="7916" width="11.42578125" style="10"/>
    <col min="7917" max="7917" width="34" style="10" customWidth="1"/>
    <col min="7918" max="7918" width="16.7109375" style="10" customWidth="1"/>
    <col min="7919" max="7919" width="16.28515625" style="10" bestFit="1" customWidth="1"/>
    <col min="7920" max="7920" width="16.140625" style="10" customWidth="1"/>
    <col min="7921" max="7921" width="16.28515625" style="10" bestFit="1" customWidth="1"/>
    <col min="7922" max="7922" width="16.5703125" style="10" customWidth="1"/>
    <col min="7923" max="7924" width="17.7109375" style="10" customWidth="1"/>
    <col min="7925" max="7927" width="16.28515625" style="10" bestFit="1" customWidth="1"/>
    <col min="7928" max="7929" width="16.5703125" style="10" bestFit="1" customWidth="1"/>
    <col min="7930" max="7930" width="20.140625" style="10" bestFit="1" customWidth="1"/>
    <col min="7931" max="7931" width="17.7109375" style="10" bestFit="1" customWidth="1"/>
    <col min="7932" max="7932" width="18.140625" style="10" customWidth="1"/>
    <col min="7933" max="7933" width="17.7109375" style="10" bestFit="1" customWidth="1"/>
    <col min="7934" max="7934" width="20.85546875" style="10" bestFit="1" customWidth="1"/>
    <col min="7935" max="7935" width="20.28515625" style="10" bestFit="1" customWidth="1"/>
    <col min="7936" max="7936" width="21.42578125" style="10" bestFit="1" customWidth="1"/>
    <col min="7937" max="7937" width="20.28515625" style="10" bestFit="1" customWidth="1"/>
    <col min="7938" max="7938" width="16.7109375" style="10" bestFit="1" customWidth="1"/>
    <col min="7939" max="7939" width="15.85546875" style="10" bestFit="1" customWidth="1"/>
    <col min="7940" max="7940" width="17" style="10" bestFit="1" customWidth="1"/>
    <col min="7941" max="7943" width="13.5703125" style="10" bestFit="1" customWidth="1"/>
    <col min="7944" max="7944" width="14.5703125" style="10" bestFit="1" customWidth="1"/>
    <col min="7945" max="7945" width="13" style="10" bestFit="1" customWidth="1"/>
    <col min="7946" max="7946" width="14.5703125" style="10" bestFit="1" customWidth="1"/>
    <col min="7947" max="7947" width="15.140625" style="10" bestFit="1" customWidth="1"/>
    <col min="7948" max="7948" width="11.5703125" style="10" bestFit="1" customWidth="1"/>
    <col min="7949" max="8172" width="11.42578125" style="10"/>
    <col min="8173" max="8173" width="34" style="10" customWidth="1"/>
    <col min="8174" max="8174" width="16.7109375" style="10" customWidth="1"/>
    <col min="8175" max="8175" width="16.28515625" style="10" bestFit="1" customWidth="1"/>
    <col min="8176" max="8176" width="16.140625" style="10" customWidth="1"/>
    <col min="8177" max="8177" width="16.28515625" style="10" bestFit="1" customWidth="1"/>
    <col min="8178" max="8178" width="16.5703125" style="10" customWidth="1"/>
    <col min="8179" max="8180" width="17.7109375" style="10" customWidth="1"/>
    <col min="8181" max="8183" width="16.28515625" style="10" bestFit="1" customWidth="1"/>
    <col min="8184" max="8185" width="16.5703125" style="10" bestFit="1" customWidth="1"/>
    <col min="8186" max="8186" width="20.140625" style="10" bestFit="1" customWidth="1"/>
    <col min="8187" max="8187" width="17.7109375" style="10" bestFit="1" customWidth="1"/>
    <col min="8188" max="8188" width="18.140625" style="10" customWidth="1"/>
    <col min="8189" max="8189" width="17.7109375" style="10" bestFit="1" customWidth="1"/>
    <col min="8190" max="8190" width="20.85546875" style="10" bestFit="1" customWidth="1"/>
    <col min="8191" max="8191" width="20.28515625" style="10" bestFit="1" customWidth="1"/>
    <col min="8192" max="8192" width="21.42578125" style="10" bestFit="1" customWidth="1"/>
    <col min="8193" max="8193" width="20.28515625" style="10" bestFit="1" customWidth="1"/>
    <col min="8194" max="8194" width="16.7109375" style="10" bestFit="1" customWidth="1"/>
    <col min="8195" max="8195" width="15.85546875" style="10" bestFit="1" customWidth="1"/>
    <col min="8196" max="8196" width="17" style="10" bestFit="1" customWidth="1"/>
    <col min="8197" max="8199" width="13.5703125" style="10" bestFit="1" customWidth="1"/>
    <col min="8200" max="8200" width="14.5703125" style="10" bestFit="1" customWidth="1"/>
    <col min="8201" max="8201" width="13" style="10" bestFit="1" customWidth="1"/>
    <col min="8202" max="8202" width="14.5703125" style="10" bestFit="1" customWidth="1"/>
    <col min="8203" max="8203" width="15.140625" style="10" bestFit="1" customWidth="1"/>
    <col min="8204" max="8204" width="11.5703125" style="10" bestFit="1" customWidth="1"/>
    <col min="8205" max="8428" width="11.42578125" style="10"/>
    <col min="8429" max="8429" width="34" style="10" customWidth="1"/>
    <col min="8430" max="8430" width="16.7109375" style="10" customWidth="1"/>
    <col min="8431" max="8431" width="16.28515625" style="10" bestFit="1" customWidth="1"/>
    <col min="8432" max="8432" width="16.140625" style="10" customWidth="1"/>
    <col min="8433" max="8433" width="16.28515625" style="10" bestFit="1" customWidth="1"/>
    <col min="8434" max="8434" width="16.5703125" style="10" customWidth="1"/>
    <col min="8435" max="8436" width="17.7109375" style="10" customWidth="1"/>
    <col min="8437" max="8439" width="16.28515625" style="10" bestFit="1" customWidth="1"/>
    <col min="8440" max="8441" width="16.5703125" style="10" bestFit="1" customWidth="1"/>
    <col min="8442" max="8442" width="20.140625" style="10" bestFit="1" customWidth="1"/>
    <col min="8443" max="8443" width="17.7109375" style="10" bestFit="1" customWidth="1"/>
    <col min="8444" max="8444" width="18.140625" style="10" customWidth="1"/>
    <col min="8445" max="8445" width="17.7109375" style="10" bestFit="1" customWidth="1"/>
    <col min="8446" max="8446" width="20.85546875" style="10" bestFit="1" customWidth="1"/>
    <col min="8447" max="8447" width="20.28515625" style="10" bestFit="1" customWidth="1"/>
    <col min="8448" max="8448" width="21.42578125" style="10" bestFit="1" customWidth="1"/>
    <col min="8449" max="8449" width="20.28515625" style="10" bestFit="1" customWidth="1"/>
    <col min="8450" max="8450" width="16.7109375" style="10" bestFit="1" customWidth="1"/>
    <col min="8451" max="8451" width="15.85546875" style="10" bestFit="1" customWidth="1"/>
    <col min="8452" max="8452" width="17" style="10" bestFit="1" customWidth="1"/>
    <col min="8453" max="8455" width="13.5703125" style="10" bestFit="1" customWidth="1"/>
    <col min="8456" max="8456" width="14.5703125" style="10" bestFit="1" customWidth="1"/>
    <col min="8457" max="8457" width="13" style="10" bestFit="1" customWidth="1"/>
    <col min="8458" max="8458" width="14.5703125" style="10" bestFit="1" customWidth="1"/>
    <col min="8459" max="8459" width="15.140625" style="10" bestFit="1" customWidth="1"/>
    <col min="8460" max="8460" width="11.5703125" style="10" bestFit="1" customWidth="1"/>
    <col min="8461" max="8684" width="11.42578125" style="10"/>
    <col min="8685" max="8685" width="34" style="10" customWidth="1"/>
    <col min="8686" max="8686" width="16.7109375" style="10" customWidth="1"/>
    <col min="8687" max="8687" width="16.28515625" style="10" bestFit="1" customWidth="1"/>
    <col min="8688" max="8688" width="16.140625" style="10" customWidth="1"/>
    <col min="8689" max="8689" width="16.28515625" style="10" bestFit="1" customWidth="1"/>
    <col min="8690" max="8690" width="16.5703125" style="10" customWidth="1"/>
    <col min="8691" max="8692" width="17.7109375" style="10" customWidth="1"/>
    <col min="8693" max="8695" width="16.28515625" style="10" bestFit="1" customWidth="1"/>
    <col min="8696" max="8697" width="16.5703125" style="10" bestFit="1" customWidth="1"/>
    <col min="8698" max="8698" width="20.140625" style="10" bestFit="1" customWidth="1"/>
    <col min="8699" max="8699" width="17.7109375" style="10" bestFit="1" customWidth="1"/>
    <col min="8700" max="8700" width="18.140625" style="10" customWidth="1"/>
    <col min="8701" max="8701" width="17.7109375" style="10" bestFit="1" customWidth="1"/>
    <col min="8702" max="8702" width="20.85546875" style="10" bestFit="1" customWidth="1"/>
    <col min="8703" max="8703" width="20.28515625" style="10" bestFit="1" customWidth="1"/>
    <col min="8704" max="8704" width="21.42578125" style="10" bestFit="1" customWidth="1"/>
    <col min="8705" max="8705" width="20.28515625" style="10" bestFit="1" customWidth="1"/>
    <col min="8706" max="8706" width="16.7109375" style="10" bestFit="1" customWidth="1"/>
    <col min="8707" max="8707" width="15.85546875" style="10" bestFit="1" customWidth="1"/>
    <col min="8708" max="8708" width="17" style="10" bestFit="1" customWidth="1"/>
    <col min="8709" max="8711" width="13.5703125" style="10" bestFit="1" customWidth="1"/>
    <col min="8712" max="8712" width="14.5703125" style="10" bestFit="1" customWidth="1"/>
    <col min="8713" max="8713" width="13" style="10" bestFit="1" customWidth="1"/>
    <col min="8714" max="8714" width="14.5703125" style="10" bestFit="1" customWidth="1"/>
    <col min="8715" max="8715" width="15.140625" style="10" bestFit="1" customWidth="1"/>
    <col min="8716" max="8716" width="11.5703125" style="10" bestFit="1" customWidth="1"/>
    <col min="8717" max="8940" width="11.42578125" style="10"/>
    <col min="8941" max="8941" width="34" style="10" customWidth="1"/>
    <col min="8942" max="8942" width="16.7109375" style="10" customWidth="1"/>
    <col min="8943" max="8943" width="16.28515625" style="10" bestFit="1" customWidth="1"/>
    <col min="8944" max="8944" width="16.140625" style="10" customWidth="1"/>
    <col min="8945" max="8945" width="16.28515625" style="10" bestFit="1" customWidth="1"/>
    <col min="8946" max="8946" width="16.5703125" style="10" customWidth="1"/>
    <col min="8947" max="8948" width="17.7109375" style="10" customWidth="1"/>
    <col min="8949" max="8951" width="16.28515625" style="10" bestFit="1" customWidth="1"/>
    <col min="8952" max="8953" width="16.5703125" style="10" bestFit="1" customWidth="1"/>
    <col min="8954" max="8954" width="20.140625" style="10" bestFit="1" customWidth="1"/>
    <col min="8955" max="8955" width="17.7109375" style="10" bestFit="1" customWidth="1"/>
    <col min="8956" max="8956" width="18.140625" style="10" customWidth="1"/>
    <col min="8957" max="8957" width="17.7109375" style="10" bestFit="1" customWidth="1"/>
    <col min="8958" max="8958" width="20.85546875" style="10" bestFit="1" customWidth="1"/>
    <col min="8959" max="8959" width="20.28515625" style="10" bestFit="1" customWidth="1"/>
    <col min="8960" max="8960" width="21.42578125" style="10" bestFit="1" customWidth="1"/>
    <col min="8961" max="8961" width="20.28515625" style="10" bestFit="1" customWidth="1"/>
    <col min="8962" max="8962" width="16.7109375" style="10" bestFit="1" customWidth="1"/>
    <col min="8963" max="8963" width="15.85546875" style="10" bestFit="1" customWidth="1"/>
    <col min="8964" max="8964" width="17" style="10" bestFit="1" customWidth="1"/>
    <col min="8965" max="8967" width="13.5703125" style="10" bestFit="1" customWidth="1"/>
    <col min="8968" max="8968" width="14.5703125" style="10" bestFit="1" customWidth="1"/>
    <col min="8969" max="8969" width="13" style="10" bestFit="1" customWidth="1"/>
    <col min="8970" max="8970" width="14.5703125" style="10" bestFit="1" customWidth="1"/>
    <col min="8971" max="8971" width="15.140625" style="10" bestFit="1" customWidth="1"/>
    <col min="8972" max="8972" width="11.5703125" style="10" bestFit="1" customWidth="1"/>
    <col min="8973" max="9196" width="11.42578125" style="10"/>
    <col min="9197" max="9197" width="34" style="10" customWidth="1"/>
    <col min="9198" max="9198" width="16.7109375" style="10" customWidth="1"/>
    <col min="9199" max="9199" width="16.28515625" style="10" bestFit="1" customWidth="1"/>
    <col min="9200" max="9200" width="16.140625" style="10" customWidth="1"/>
    <col min="9201" max="9201" width="16.28515625" style="10" bestFit="1" customWidth="1"/>
    <col min="9202" max="9202" width="16.5703125" style="10" customWidth="1"/>
    <col min="9203" max="9204" width="17.7109375" style="10" customWidth="1"/>
    <col min="9205" max="9207" width="16.28515625" style="10" bestFit="1" customWidth="1"/>
    <col min="9208" max="9209" width="16.5703125" style="10" bestFit="1" customWidth="1"/>
    <col min="9210" max="9210" width="20.140625" style="10" bestFit="1" customWidth="1"/>
    <col min="9211" max="9211" width="17.7109375" style="10" bestFit="1" customWidth="1"/>
    <col min="9212" max="9212" width="18.140625" style="10" customWidth="1"/>
    <col min="9213" max="9213" width="17.7109375" style="10" bestFit="1" customWidth="1"/>
    <col min="9214" max="9214" width="20.85546875" style="10" bestFit="1" customWidth="1"/>
    <col min="9215" max="9215" width="20.28515625" style="10" bestFit="1" customWidth="1"/>
    <col min="9216" max="9216" width="21.42578125" style="10" bestFit="1" customWidth="1"/>
    <col min="9217" max="9217" width="20.28515625" style="10" bestFit="1" customWidth="1"/>
    <col min="9218" max="9218" width="16.7109375" style="10" bestFit="1" customWidth="1"/>
    <col min="9219" max="9219" width="15.85546875" style="10" bestFit="1" customWidth="1"/>
    <col min="9220" max="9220" width="17" style="10" bestFit="1" customWidth="1"/>
    <col min="9221" max="9223" width="13.5703125" style="10" bestFit="1" customWidth="1"/>
    <col min="9224" max="9224" width="14.5703125" style="10" bestFit="1" customWidth="1"/>
    <col min="9225" max="9225" width="13" style="10" bestFit="1" customWidth="1"/>
    <col min="9226" max="9226" width="14.5703125" style="10" bestFit="1" customWidth="1"/>
    <col min="9227" max="9227" width="15.140625" style="10" bestFit="1" customWidth="1"/>
    <col min="9228" max="9228" width="11.5703125" style="10" bestFit="1" customWidth="1"/>
    <col min="9229" max="9452" width="11.42578125" style="10"/>
    <col min="9453" max="9453" width="34" style="10" customWidth="1"/>
    <col min="9454" max="9454" width="16.7109375" style="10" customWidth="1"/>
    <col min="9455" max="9455" width="16.28515625" style="10" bestFit="1" customWidth="1"/>
    <col min="9456" max="9456" width="16.140625" style="10" customWidth="1"/>
    <col min="9457" max="9457" width="16.28515625" style="10" bestFit="1" customWidth="1"/>
    <col min="9458" max="9458" width="16.5703125" style="10" customWidth="1"/>
    <col min="9459" max="9460" width="17.7109375" style="10" customWidth="1"/>
    <col min="9461" max="9463" width="16.28515625" style="10" bestFit="1" customWidth="1"/>
    <col min="9464" max="9465" width="16.5703125" style="10" bestFit="1" customWidth="1"/>
    <col min="9466" max="9466" width="20.140625" style="10" bestFit="1" customWidth="1"/>
    <col min="9467" max="9467" width="17.7109375" style="10" bestFit="1" customWidth="1"/>
    <col min="9468" max="9468" width="18.140625" style="10" customWidth="1"/>
    <col min="9469" max="9469" width="17.7109375" style="10" bestFit="1" customWidth="1"/>
    <col min="9470" max="9470" width="20.85546875" style="10" bestFit="1" customWidth="1"/>
    <col min="9471" max="9471" width="20.28515625" style="10" bestFit="1" customWidth="1"/>
    <col min="9472" max="9472" width="21.42578125" style="10" bestFit="1" customWidth="1"/>
    <col min="9473" max="9473" width="20.28515625" style="10" bestFit="1" customWidth="1"/>
    <col min="9474" max="9474" width="16.7109375" style="10" bestFit="1" customWidth="1"/>
    <col min="9475" max="9475" width="15.85546875" style="10" bestFit="1" customWidth="1"/>
    <col min="9476" max="9476" width="17" style="10" bestFit="1" customWidth="1"/>
    <col min="9477" max="9479" width="13.5703125" style="10" bestFit="1" customWidth="1"/>
    <col min="9480" max="9480" width="14.5703125" style="10" bestFit="1" customWidth="1"/>
    <col min="9481" max="9481" width="13" style="10" bestFit="1" customWidth="1"/>
    <col min="9482" max="9482" width="14.5703125" style="10" bestFit="1" customWidth="1"/>
    <col min="9483" max="9483" width="15.140625" style="10" bestFit="1" customWidth="1"/>
    <col min="9484" max="9484" width="11.5703125" style="10" bestFit="1" customWidth="1"/>
    <col min="9485" max="9708" width="11.42578125" style="10"/>
    <col min="9709" max="9709" width="34" style="10" customWidth="1"/>
    <col min="9710" max="9710" width="16.7109375" style="10" customWidth="1"/>
    <col min="9711" max="9711" width="16.28515625" style="10" bestFit="1" customWidth="1"/>
    <col min="9712" max="9712" width="16.140625" style="10" customWidth="1"/>
    <col min="9713" max="9713" width="16.28515625" style="10" bestFit="1" customWidth="1"/>
    <col min="9714" max="9714" width="16.5703125" style="10" customWidth="1"/>
    <col min="9715" max="9716" width="17.7109375" style="10" customWidth="1"/>
    <col min="9717" max="9719" width="16.28515625" style="10" bestFit="1" customWidth="1"/>
    <col min="9720" max="9721" width="16.5703125" style="10" bestFit="1" customWidth="1"/>
    <col min="9722" max="9722" width="20.140625" style="10" bestFit="1" customWidth="1"/>
    <col min="9723" max="9723" width="17.7109375" style="10" bestFit="1" customWidth="1"/>
    <col min="9724" max="9724" width="18.140625" style="10" customWidth="1"/>
    <col min="9725" max="9725" width="17.7109375" style="10" bestFit="1" customWidth="1"/>
    <col min="9726" max="9726" width="20.85546875" style="10" bestFit="1" customWidth="1"/>
    <col min="9727" max="9727" width="20.28515625" style="10" bestFit="1" customWidth="1"/>
    <col min="9728" max="9728" width="21.42578125" style="10" bestFit="1" customWidth="1"/>
    <col min="9729" max="9729" width="20.28515625" style="10" bestFit="1" customWidth="1"/>
    <col min="9730" max="9730" width="16.7109375" style="10" bestFit="1" customWidth="1"/>
    <col min="9731" max="9731" width="15.85546875" style="10" bestFit="1" customWidth="1"/>
    <col min="9732" max="9732" width="17" style="10" bestFit="1" customWidth="1"/>
    <col min="9733" max="9735" width="13.5703125" style="10" bestFit="1" customWidth="1"/>
    <col min="9736" max="9736" width="14.5703125" style="10" bestFit="1" customWidth="1"/>
    <col min="9737" max="9737" width="13" style="10" bestFit="1" customWidth="1"/>
    <col min="9738" max="9738" width="14.5703125" style="10" bestFit="1" customWidth="1"/>
    <col min="9739" max="9739" width="15.140625" style="10" bestFit="1" customWidth="1"/>
    <col min="9740" max="9740" width="11.5703125" style="10" bestFit="1" customWidth="1"/>
    <col min="9741" max="9964" width="11.42578125" style="10"/>
    <col min="9965" max="9965" width="34" style="10" customWidth="1"/>
    <col min="9966" max="9966" width="16.7109375" style="10" customWidth="1"/>
    <col min="9967" max="9967" width="16.28515625" style="10" bestFit="1" customWidth="1"/>
    <col min="9968" max="9968" width="16.140625" style="10" customWidth="1"/>
    <col min="9969" max="9969" width="16.28515625" style="10" bestFit="1" customWidth="1"/>
    <col min="9970" max="9970" width="16.5703125" style="10" customWidth="1"/>
    <col min="9971" max="9972" width="17.7109375" style="10" customWidth="1"/>
    <col min="9973" max="9975" width="16.28515625" style="10" bestFit="1" customWidth="1"/>
    <col min="9976" max="9977" width="16.5703125" style="10" bestFit="1" customWidth="1"/>
    <col min="9978" max="9978" width="20.140625" style="10" bestFit="1" customWidth="1"/>
    <col min="9979" max="9979" width="17.7109375" style="10" bestFit="1" customWidth="1"/>
    <col min="9980" max="9980" width="18.140625" style="10" customWidth="1"/>
    <col min="9981" max="9981" width="17.7109375" style="10" bestFit="1" customWidth="1"/>
    <col min="9982" max="9982" width="20.85546875" style="10" bestFit="1" customWidth="1"/>
    <col min="9983" max="9983" width="20.28515625" style="10" bestFit="1" customWidth="1"/>
    <col min="9984" max="9984" width="21.42578125" style="10" bestFit="1" customWidth="1"/>
    <col min="9985" max="9985" width="20.28515625" style="10" bestFit="1" customWidth="1"/>
    <col min="9986" max="9986" width="16.7109375" style="10" bestFit="1" customWidth="1"/>
    <col min="9987" max="9987" width="15.85546875" style="10" bestFit="1" customWidth="1"/>
    <col min="9988" max="9988" width="17" style="10" bestFit="1" customWidth="1"/>
    <col min="9989" max="9991" width="13.5703125" style="10" bestFit="1" customWidth="1"/>
    <col min="9992" max="9992" width="14.5703125" style="10" bestFit="1" customWidth="1"/>
    <col min="9993" max="9993" width="13" style="10" bestFit="1" customWidth="1"/>
    <col min="9994" max="9994" width="14.5703125" style="10" bestFit="1" customWidth="1"/>
    <col min="9995" max="9995" width="15.140625" style="10" bestFit="1" customWidth="1"/>
    <col min="9996" max="9996" width="11.5703125" style="10" bestFit="1" customWidth="1"/>
    <col min="9997" max="10220" width="11.42578125" style="10"/>
    <col min="10221" max="10221" width="34" style="10" customWidth="1"/>
    <col min="10222" max="10222" width="16.7109375" style="10" customWidth="1"/>
    <col min="10223" max="10223" width="16.28515625" style="10" bestFit="1" customWidth="1"/>
    <col min="10224" max="10224" width="16.140625" style="10" customWidth="1"/>
    <col min="10225" max="10225" width="16.28515625" style="10" bestFit="1" customWidth="1"/>
    <col min="10226" max="10226" width="16.5703125" style="10" customWidth="1"/>
    <col min="10227" max="10228" width="17.7109375" style="10" customWidth="1"/>
    <col min="10229" max="10231" width="16.28515625" style="10" bestFit="1" customWidth="1"/>
    <col min="10232" max="10233" width="16.5703125" style="10" bestFit="1" customWidth="1"/>
    <col min="10234" max="10234" width="20.140625" style="10" bestFit="1" customWidth="1"/>
    <col min="10235" max="10235" width="17.7109375" style="10" bestFit="1" customWidth="1"/>
    <col min="10236" max="10236" width="18.140625" style="10" customWidth="1"/>
    <col min="10237" max="10237" width="17.7109375" style="10" bestFit="1" customWidth="1"/>
    <col min="10238" max="10238" width="20.85546875" style="10" bestFit="1" customWidth="1"/>
    <col min="10239" max="10239" width="20.28515625" style="10" bestFit="1" customWidth="1"/>
    <col min="10240" max="10240" width="21.42578125" style="10" bestFit="1" customWidth="1"/>
    <col min="10241" max="10241" width="20.28515625" style="10" bestFit="1" customWidth="1"/>
    <col min="10242" max="10242" width="16.7109375" style="10" bestFit="1" customWidth="1"/>
    <col min="10243" max="10243" width="15.85546875" style="10" bestFit="1" customWidth="1"/>
    <col min="10244" max="10244" width="17" style="10" bestFit="1" customWidth="1"/>
    <col min="10245" max="10247" width="13.5703125" style="10" bestFit="1" customWidth="1"/>
    <col min="10248" max="10248" width="14.5703125" style="10" bestFit="1" customWidth="1"/>
    <col min="10249" max="10249" width="13" style="10" bestFit="1" customWidth="1"/>
    <col min="10250" max="10250" width="14.5703125" style="10" bestFit="1" customWidth="1"/>
    <col min="10251" max="10251" width="15.140625" style="10" bestFit="1" customWidth="1"/>
    <col min="10252" max="10252" width="11.5703125" style="10" bestFit="1" customWidth="1"/>
    <col min="10253" max="10476" width="11.42578125" style="10"/>
    <col min="10477" max="10477" width="34" style="10" customWidth="1"/>
    <col min="10478" max="10478" width="16.7109375" style="10" customWidth="1"/>
    <col min="10479" max="10479" width="16.28515625" style="10" bestFit="1" customWidth="1"/>
    <col min="10480" max="10480" width="16.140625" style="10" customWidth="1"/>
    <col min="10481" max="10481" width="16.28515625" style="10" bestFit="1" customWidth="1"/>
    <col min="10482" max="10482" width="16.5703125" style="10" customWidth="1"/>
    <col min="10483" max="10484" width="17.7109375" style="10" customWidth="1"/>
    <col min="10485" max="10487" width="16.28515625" style="10" bestFit="1" customWidth="1"/>
    <col min="10488" max="10489" width="16.5703125" style="10" bestFit="1" customWidth="1"/>
    <col min="10490" max="10490" width="20.140625" style="10" bestFit="1" customWidth="1"/>
    <col min="10491" max="10491" width="17.7109375" style="10" bestFit="1" customWidth="1"/>
    <col min="10492" max="10492" width="18.140625" style="10" customWidth="1"/>
    <col min="10493" max="10493" width="17.7109375" style="10" bestFit="1" customWidth="1"/>
    <col min="10494" max="10494" width="20.85546875" style="10" bestFit="1" customWidth="1"/>
    <col min="10495" max="10495" width="20.28515625" style="10" bestFit="1" customWidth="1"/>
    <col min="10496" max="10496" width="21.42578125" style="10" bestFit="1" customWidth="1"/>
    <col min="10497" max="10497" width="20.28515625" style="10" bestFit="1" customWidth="1"/>
    <col min="10498" max="10498" width="16.7109375" style="10" bestFit="1" customWidth="1"/>
    <col min="10499" max="10499" width="15.85546875" style="10" bestFit="1" customWidth="1"/>
    <col min="10500" max="10500" width="17" style="10" bestFit="1" customWidth="1"/>
    <col min="10501" max="10503" width="13.5703125" style="10" bestFit="1" customWidth="1"/>
    <col min="10504" max="10504" width="14.5703125" style="10" bestFit="1" customWidth="1"/>
    <col min="10505" max="10505" width="13" style="10" bestFit="1" customWidth="1"/>
    <col min="10506" max="10506" width="14.5703125" style="10" bestFit="1" customWidth="1"/>
    <col min="10507" max="10507" width="15.140625" style="10" bestFit="1" customWidth="1"/>
    <col min="10508" max="10508" width="11.5703125" style="10" bestFit="1" customWidth="1"/>
    <col min="10509" max="10732" width="11.42578125" style="10"/>
    <col min="10733" max="10733" width="34" style="10" customWidth="1"/>
    <col min="10734" max="10734" width="16.7109375" style="10" customWidth="1"/>
    <col min="10735" max="10735" width="16.28515625" style="10" bestFit="1" customWidth="1"/>
    <col min="10736" max="10736" width="16.140625" style="10" customWidth="1"/>
    <col min="10737" max="10737" width="16.28515625" style="10" bestFit="1" customWidth="1"/>
    <col min="10738" max="10738" width="16.5703125" style="10" customWidth="1"/>
    <col min="10739" max="10740" width="17.7109375" style="10" customWidth="1"/>
    <col min="10741" max="10743" width="16.28515625" style="10" bestFit="1" customWidth="1"/>
    <col min="10744" max="10745" width="16.5703125" style="10" bestFit="1" customWidth="1"/>
    <col min="10746" max="10746" width="20.140625" style="10" bestFit="1" customWidth="1"/>
    <col min="10747" max="10747" width="17.7109375" style="10" bestFit="1" customWidth="1"/>
    <col min="10748" max="10748" width="18.140625" style="10" customWidth="1"/>
    <col min="10749" max="10749" width="17.7109375" style="10" bestFit="1" customWidth="1"/>
    <col min="10750" max="10750" width="20.85546875" style="10" bestFit="1" customWidth="1"/>
    <col min="10751" max="10751" width="20.28515625" style="10" bestFit="1" customWidth="1"/>
    <col min="10752" max="10752" width="21.42578125" style="10" bestFit="1" customWidth="1"/>
    <col min="10753" max="10753" width="20.28515625" style="10" bestFit="1" customWidth="1"/>
    <col min="10754" max="10754" width="16.7109375" style="10" bestFit="1" customWidth="1"/>
    <col min="10755" max="10755" width="15.85546875" style="10" bestFit="1" customWidth="1"/>
    <col min="10756" max="10756" width="17" style="10" bestFit="1" customWidth="1"/>
    <col min="10757" max="10759" width="13.5703125" style="10" bestFit="1" customWidth="1"/>
    <col min="10760" max="10760" width="14.5703125" style="10" bestFit="1" customWidth="1"/>
    <col min="10761" max="10761" width="13" style="10" bestFit="1" customWidth="1"/>
    <col min="10762" max="10762" width="14.5703125" style="10" bestFit="1" customWidth="1"/>
    <col min="10763" max="10763" width="15.140625" style="10" bestFit="1" customWidth="1"/>
    <col min="10764" max="10764" width="11.5703125" style="10" bestFit="1" customWidth="1"/>
    <col min="10765" max="10988" width="11.42578125" style="10"/>
    <col min="10989" max="10989" width="34" style="10" customWidth="1"/>
    <col min="10990" max="10990" width="16.7109375" style="10" customWidth="1"/>
    <col min="10991" max="10991" width="16.28515625" style="10" bestFit="1" customWidth="1"/>
    <col min="10992" max="10992" width="16.140625" style="10" customWidth="1"/>
    <col min="10993" max="10993" width="16.28515625" style="10" bestFit="1" customWidth="1"/>
    <col min="10994" max="10994" width="16.5703125" style="10" customWidth="1"/>
    <col min="10995" max="10996" width="17.7109375" style="10" customWidth="1"/>
    <col min="10997" max="10999" width="16.28515625" style="10" bestFit="1" customWidth="1"/>
    <col min="11000" max="11001" width="16.5703125" style="10" bestFit="1" customWidth="1"/>
    <col min="11002" max="11002" width="20.140625" style="10" bestFit="1" customWidth="1"/>
    <col min="11003" max="11003" width="17.7109375" style="10" bestFit="1" customWidth="1"/>
    <col min="11004" max="11004" width="18.140625" style="10" customWidth="1"/>
    <col min="11005" max="11005" width="17.7109375" style="10" bestFit="1" customWidth="1"/>
    <col min="11006" max="11006" width="20.85546875" style="10" bestFit="1" customWidth="1"/>
    <col min="11007" max="11007" width="20.28515625" style="10" bestFit="1" customWidth="1"/>
    <col min="11008" max="11008" width="21.42578125" style="10" bestFit="1" customWidth="1"/>
    <col min="11009" max="11009" width="20.28515625" style="10" bestFit="1" customWidth="1"/>
    <col min="11010" max="11010" width="16.7109375" style="10" bestFit="1" customWidth="1"/>
    <col min="11011" max="11011" width="15.85546875" style="10" bestFit="1" customWidth="1"/>
    <col min="11012" max="11012" width="17" style="10" bestFit="1" customWidth="1"/>
    <col min="11013" max="11015" width="13.5703125" style="10" bestFit="1" customWidth="1"/>
    <col min="11016" max="11016" width="14.5703125" style="10" bestFit="1" customWidth="1"/>
    <col min="11017" max="11017" width="13" style="10" bestFit="1" customWidth="1"/>
    <col min="11018" max="11018" width="14.5703125" style="10" bestFit="1" customWidth="1"/>
    <col min="11019" max="11019" width="15.140625" style="10" bestFit="1" customWidth="1"/>
    <col min="11020" max="11020" width="11.5703125" style="10" bestFit="1" customWidth="1"/>
    <col min="11021" max="11244" width="11.42578125" style="10"/>
    <col min="11245" max="11245" width="34" style="10" customWidth="1"/>
    <col min="11246" max="11246" width="16.7109375" style="10" customWidth="1"/>
    <col min="11247" max="11247" width="16.28515625" style="10" bestFit="1" customWidth="1"/>
    <col min="11248" max="11248" width="16.140625" style="10" customWidth="1"/>
    <col min="11249" max="11249" width="16.28515625" style="10" bestFit="1" customWidth="1"/>
    <col min="11250" max="11250" width="16.5703125" style="10" customWidth="1"/>
    <col min="11251" max="11252" width="17.7109375" style="10" customWidth="1"/>
    <col min="11253" max="11255" width="16.28515625" style="10" bestFit="1" customWidth="1"/>
    <col min="11256" max="11257" width="16.5703125" style="10" bestFit="1" customWidth="1"/>
    <col min="11258" max="11258" width="20.140625" style="10" bestFit="1" customWidth="1"/>
    <col min="11259" max="11259" width="17.7109375" style="10" bestFit="1" customWidth="1"/>
    <col min="11260" max="11260" width="18.140625" style="10" customWidth="1"/>
    <col min="11261" max="11261" width="17.7109375" style="10" bestFit="1" customWidth="1"/>
    <col min="11262" max="11262" width="20.85546875" style="10" bestFit="1" customWidth="1"/>
    <col min="11263" max="11263" width="20.28515625" style="10" bestFit="1" customWidth="1"/>
    <col min="11264" max="11264" width="21.42578125" style="10" bestFit="1" customWidth="1"/>
    <col min="11265" max="11265" width="20.28515625" style="10" bestFit="1" customWidth="1"/>
    <col min="11266" max="11266" width="16.7109375" style="10" bestFit="1" customWidth="1"/>
    <col min="11267" max="11267" width="15.85546875" style="10" bestFit="1" customWidth="1"/>
    <col min="11268" max="11268" width="17" style="10" bestFit="1" customWidth="1"/>
    <col min="11269" max="11271" width="13.5703125" style="10" bestFit="1" customWidth="1"/>
    <col min="11272" max="11272" width="14.5703125" style="10" bestFit="1" customWidth="1"/>
    <col min="11273" max="11273" width="13" style="10" bestFit="1" customWidth="1"/>
    <col min="11274" max="11274" width="14.5703125" style="10" bestFit="1" customWidth="1"/>
    <col min="11275" max="11275" width="15.140625" style="10" bestFit="1" customWidth="1"/>
    <col min="11276" max="11276" width="11.5703125" style="10" bestFit="1" customWidth="1"/>
    <col min="11277" max="11500" width="11.42578125" style="10"/>
    <col min="11501" max="11501" width="34" style="10" customWidth="1"/>
    <col min="11502" max="11502" width="16.7109375" style="10" customWidth="1"/>
    <col min="11503" max="11503" width="16.28515625" style="10" bestFit="1" customWidth="1"/>
    <col min="11504" max="11504" width="16.140625" style="10" customWidth="1"/>
    <col min="11505" max="11505" width="16.28515625" style="10" bestFit="1" customWidth="1"/>
    <col min="11506" max="11506" width="16.5703125" style="10" customWidth="1"/>
    <col min="11507" max="11508" width="17.7109375" style="10" customWidth="1"/>
    <col min="11509" max="11511" width="16.28515625" style="10" bestFit="1" customWidth="1"/>
    <col min="11512" max="11513" width="16.5703125" style="10" bestFit="1" customWidth="1"/>
    <col min="11514" max="11514" width="20.140625" style="10" bestFit="1" customWidth="1"/>
    <col min="11515" max="11515" width="17.7109375" style="10" bestFit="1" customWidth="1"/>
    <col min="11516" max="11516" width="18.140625" style="10" customWidth="1"/>
    <col min="11517" max="11517" width="17.7109375" style="10" bestFit="1" customWidth="1"/>
    <col min="11518" max="11518" width="20.85546875" style="10" bestFit="1" customWidth="1"/>
    <col min="11519" max="11519" width="20.28515625" style="10" bestFit="1" customWidth="1"/>
    <col min="11520" max="11520" width="21.42578125" style="10" bestFit="1" customWidth="1"/>
    <col min="11521" max="11521" width="20.28515625" style="10" bestFit="1" customWidth="1"/>
    <col min="11522" max="11522" width="16.7109375" style="10" bestFit="1" customWidth="1"/>
    <col min="11523" max="11523" width="15.85546875" style="10" bestFit="1" customWidth="1"/>
    <col min="11524" max="11524" width="17" style="10" bestFit="1" customWidth="1"/>
    <col min="11525" max="11527" width="13.5703125" style="10" bestFit="1" customWidth="1"/>
    <col min="11528" max="11528" width="14.5703125" style="10" bestFit="1" customWidth="1"/>
    <col min="11529" max="11529" width="13" style="10" bestFit="1" customWidth="1"/>
    <col min="11530" max="11530" width="14.5703125" style="10" bestFit="1" customWidth="1"/>
    <col min="11531" max="11531" width="15.140625" style="10" bestFit="1" customWidth="1"/>
    <col min="11532" max="11532" width="11.5703125" style="10" bestFit="1" customWidth="1"/>
    <col min="11533" max="11756" width="11.42578125" style="10"/>
    <col min="11757" max="11757" width="34" style="10" customWidth="1"/>
    <col min="11758" max="11758" width="16.7109375" style="10" customWidth="1"/>
    <col min="11759" max="11759" width="16.28515625" style="10" bestFit="1" customWidth="1"/>
    <col min="11760" max="11760" width="16.140625" style="10" customWidth="1"/>
    <col min="11761" max="11761" width="16.28515625" style="10" bestFit="1" customWidth="1"/>
    <col min="11762" max="11762" width="16.5703125" style="10" customWidth="1"/>
    <col min="11763" max="11764" width="17.7109375" style="10" customWidth="1"/>
    <col min="11765" max="11767" width="16.28515625" style="10" bestFit="1" customWidth="1"/>
    <col min="11768" max="11769" width="16.5703125" style="10" bestFit="1" customWidth="1"/>
    <col min="11770" max="11770" width="20.140625" style="10" bestFit="1" customWidth="1"/>
    <col min="11771" max="11771" width="17.7109375" style="10" bestFit="1" customWidth="1"/>
    <col min="11772" max="11772" width="18.140625" style="10" customWidth="1"/>
    <col min="11773" max="11773" width="17.7109375" style="10" bestFit="1" customWidth="1"/>
    <col min="11774" max="11774" width="20.85546875" style="10" bestFit="1" customWidth="1"/>
    <col min="11775" max="11775" width="20.28515625" style="10" bestFit="1" customWidth="1"/>
    <col min="11776" max="11776" width="21.42578125" style="10" bestFit="1" customWidth="1"/>
    <col min="11777" max="11777" width="20.28515625" style="10" bestFit="1" customWidth="1"/>
    <col min="11778" max="11778" width="16.7109375" style="10" bestFit="1" customWidth="1"/>
    <col min="11779" max="11779" width="15.85546875" style="10" bestFit="1" customWidth="1"/>
    <col min="11780" max="11780" width="17" style="10" bestFit="1" customWidth="1"/>
    <col min="11781" max="11783" width="13.5703125" style="10" bestFit="1" customWidth="1"/>
    <col min="11784" max="11784" width="14.5703125" style="10" bestFit="1" customWidth="1"/>
    <col min="11785" max="11785" width="13" style="10" bestFit="1" customWidth="1"/>
    <col min="11786" max="11786" width="14.5703125" style="10" bestFit="1" customWidth="1"/>
    <col min="11787" max="11787" width="15.140625" style="10" bestFit="1" customWidth="1"/>
    <col min="11788" max="11788" width="11.5703125" style="10" bestFit="1" customWidth="1"/>
    <col min="11789" max="12012" width="11.42578125" style="10"/>
    <col min="12013" max="12013" width="34" style="10" customWidth="1"/>
    <col min="12014" max="12014" width="16.7109375" style="10" customWidth="1"/>
    <col min="12015" max="12015" width="16.28515625" style="10" bestFit="1" customWidth="1"/>
    <col min="12016" max="12016" width="16.140625" style="10" customWidth="1"/>
    <col min="12017" max="12017" width="16.28515625" style="10" bestFit="1" customWidth="1"/>
    <col min="12018" max="12018" width="16.5703125" style="10" customWidth="1"/>
    <col min="12019" max="12020" width="17.7109375" style="10" customWidth="1"/>
    <col min="12021" max="12023" width="16.28515625" style="10" bestFit="1" customWidth="1"/>
    <col min="12024" max="12025" width="16.5703125" style="10" bestFit="1" customWidth="1"/>
    <col min="12026" max="12026" width="20.140625" style="10" bestFit="1" customWidth="1"/>
    <col min="12027" max="12027" width="17.7109375" style="10" bestFit="1" customWidth="1"/>
    <col min="12028" max="12028" width="18.140625" style="10" customWidth="1"/>
    <col min="12029" max="12029" width="17.7109375" style="10" bestFit="1" customWidth="1"/>
    <col min="12030" max="12030" width="20.85546875" style="10" bestFit="1" customWidth="1"/>
    <col min="12031" max="12031" width="20.28515625" style="10" bestFit="1" customWidth="1"/>
    <col min="12032" max="12032" width="21.42578125" style="10" bestFit="1" customWidth="1"/>
    <col min="12033" max="12033" width="20.28515625" style="10" bestFit="1" customWidth="1"/>
    <col min="12034" max="12034" width="16.7109375" style="10" bestFit="1" customWidth="1"/>
    <col min="12035" max="12035" width="15.85546875" style="10" bestFit="1" customWidth="1"/>
    <col min="12036" max="12036" width="17" style="10" bestFit="1" customWidth="1"/>
    <col min="12037" max="12039" width="13.5703125" style="10" bestFit="1" customWidth="1"/>
    <col min="12040" max="12040" width="14.5703125" style="10" bestFit="1" customWidth="1"/>
    <col min="12041" max="12041" width="13" style="10" bestFit="1" customWidth="1"/>
    <col min="12042" max="12042" width="14.5703125" style="10" bestFit="1" customWidth="1"/>
    <col min="12043" max="12043" width="15.140625" style="10" bestFit="1" customWidth="1"/>
    <col min="12044" max="12044" width="11.5703125" style="10" bestFit="1" customWidth="1"/>
    <col min="12045" max="12268" width="11.42578125" style="10"/>
    <col min="12269" max="12269" width="34" style="10" customWidth="1"/>
    <col min="12270" max="12270" width="16.7109375" style="10" customWidth="1"/>
    <col min="12271" max="12271" width="16.28515625" style="10" bestFit="1" customWidth="1"/>
    <col min="12272" max="12272" width="16.140625" style="10" customWidth="1"/>
    <col min="12273" max="12273" width="16.28515625" style="10" bestFit="1" customWidth="1"/>
    <col min="12274" max="12274" width="16.5703125" style="10" customWidth="1"/>
    <col min="12275" max="12276" width="17.7109375" style="10" customWidth="1"/>
    <col min="12277" max="12279" width="16.28515625" style="10" bestFit="1" customWidth="1"/>
    <col min="12280" max="12281" width="16.5703125" style="10" bestFit="1" customWidth="1"/>
    <col min="12282" max="12282" width="20.140625" style="10" bestFit="1" customWidth="1"/>
    <col min="12283" max="12283" width="17.7109375" style="10" bestFit="1" customWidth="1"/>
    <col min="12284" max="12284" width="18.140625" style="10" customWidth="1"/>
    <col min="12285" max="12285" width="17.7109375" style="10" bestFit="1" customWidth="1"/>
    <col min="12286" max="12286" width="20.85546875" style="10" bestFit="1" customWidth="1"/>
    <col min="12287" max="12287" width="20.28515625" style="10" bestFit="1" customWidth="1"/>
    <col min="12288" max="12288" width="21.42578125" style="10" bestFit="1" customWidth="1"/>
    <col min="12289" max="12289" width="20.28515625" style="10" bestFit="1" customWidth="1"/>
    <col min="12290" max="12290" width="16.7109375" style="10" bestFit="1" customWidth="1"/>
    <col min="12291" max="12291" width="15.85546875" style="10" bestFit="1" customWidth="1"/>
    <col min="12292" max="12292" width="17" style="10" bestFit="1" customWidth="1"/>
    <col min="12293" max="12295" width="13.5703125" style="10" bestFit="1" customWidth="1"/>
    <col min="12296" max="12296" width="14.5703125" style="10" bestFit="1" customWidth="1"/>
    <col min="12297" max="12297" width="13" style="10" bestFit="1" customWidth="1"/>
    <col min="12298" max="12298" width="14.5703125" style="10" bestFit="1" customWidth="1"/>
    <col min="12299" max="12299" width="15.140625" style="10" bestFit="1" customWidth="1"/>
    <col min="12300" max="12300" width="11.5703125" style="10" bestFit="1" customWidth="1"/>
    <col min="12301" max="12524" width="11.42578125" style="10"/>
    <col min="12525" max="12525" width="34" style="10" customWidth="1"/>
    <col min="12526" max="12526" width="16.7109375" style="10" customWidth="1"/>
    <col min="12527" max="12527" width="16.28515625" style="10" bestFit="1" customWidth="1"/>
    <col min="12528" max="12528" width="16.140625" style="10" customWidth="1"/>
    <col min="12529" max="12529" width="16.28515625" style="10" bestFit="1" customWidth="1"/>
    <col min="12530" max="12530" width="16.5703125" style="10" customWidth="1"/>
    <col min="12531" max="12532" width="17.7109375" style="10" customWidth="1"/>
    <col min="12533" max="12535" width="16.28515625" style="10" bestFit="1" customWidth="1"/>
    <col min="12536" max="12537" width="16.5703125" style="10" bestFit="1" customWidth="1"/>
    <col min="12538" max="12538" width="20.140625" style="10" bestFit="1" customWidth="1"/>
    <col min="12539" max="12539" width="17.7109375" style="10" bestFit="1" customWidth="1"/>
    <col min="12540" max="12540" width="18.140625" style="10" customWidth="1"/>
    <col min="12541" max="12541" width="17.7109375" style="10" bestFit="1" customWidth="1"/>
    <col min="12542" max="12542" width="20.85546875" style="10" bestFit="1" customWidth="1"/>
    <col min="12543" max="12543" width="20.28515625" style="10" bestFit="1" customWidth="1"/>
    <col min="12544" max="12544" width="21.42578125" style="10" bestFit="1" customWidth="1"/>
    <col min="12545" max="12545" width="20.28515625" style="10" bestFit="1" customWidth="1"/>
    <col min="12546" max="12546" width="16.7109375" style="10" bestFit="1" customWidth="1"/>
    <col min="12547" max="12547" width="15.85546875" style="10" bestFit="1" customWidth="1"/>
    <col min="12548" max="12548" width="17" style="10" bestFit="1" customWidth="1"/>
    <col min="12549" max="12551" width="13.5703125" style="10" bestFit="1" customWidth="1"/>
    <col min="12552" max="12552" width="14.5703125" style="10" bestFit="1" customWidth="1"/>
    <col min="12553" max="12553" width="13" style="10" bestFit="1" customWidth="1"/>
    <col min="12554" max="12554" width="14.5703125" style="10" bestFit="1" customWidth="1"/>
    <col min="12555" max="12555" width="15.140625" style="10" bestFit="1" customWidth="1"/>
    <col min="12556" max="12556" width="11.5703125" style="10" bestFit="1" customWidth="1"/>
    <col min="12557" max="12780" width="11.42578125" style="10"/>
    <col min="12781" max="12781" width="34" style="10" customWidth="1"/>
    <col min="12782" max="12782" width="16.7109375" style="10" customWidth="1"/>
    <col min="12783" max="12783" width="16.28515625" style="10" bestFit="1" customWidth="1"/>
    <col min="12784" max="12784" width="16.140625" style="10" customWidth="1"/>
    <col min="12785" max="12785" width="16.28515625" style="10" bestFit="1" customWidth="1"/>
    <col min="12786" max="12786" width="16.5703125" style="10" customWidth="1"/>
    <col min="12787" max="12788" width="17.7109375" style="10" customWidth="1"/>
    <col min="12789" max="12791" width="16.28515625" style="10" bestFit="1" customWidth="1"/>
    <col min="12792" max="12793" width="16.5703125" style="10" bestFit="1" customWidth="1"/>
    <col min="12794" max="12794" width="20.140625" style="10" bestFit="1" customWidth="1"/>
    <col min="12795" max="12795" width="17.7109375" style="10" bestFit="1" customWidth="1"/>
    <col min="12796" max="12796" width="18.140625" style="10" customWidth="1"/>
    <col min="12797" max="12797" width="17.7109375" style="10" bestFit="1" customWidth="1"/>
    <col min="12798" max="12798" width="20.85546875" style="10" bestFit="1" customWidth="1"/>
    <col min="12799" max="12799" width="20.28515625" style="10" bestFit="1" customWidth="1"/>
    <col min="12800" max="12800" width="21.42578125" style="10" bestFit="1" customWidth="1"/>
    <col min="12801" max="12801" width="20.28515625" style="10" bestFit="1" customWidth="1"/>
    <col min="12802" max="12802" width="16.7109375" style="10" bestFit="1" customWidth="1"/>
    <col min="12803" max="12803" width="15.85546875" style="10" bestFit="1" customWidth="1"/>
    <col min="12804" max="12804" width="17" style="10" bestFit="1" customWidth="1"/>
    <col min="12805" max="12807" width="13.5703125" style="10" bestFit="1" customWidth="1"/>
    <col min="12808" max="12808" width="14.5703125" style="10" bestFit="1" customWidth="1"/>
    <col min="12809" max="12809" width="13" style="10" bestFit="1" customWidth="1"/>
    <col min="12810" max="12810" width="14.5703125" style="10" bestFit="1" customWidth="1"/>
    <col min="12811" max="12811" width="15.140625" style="10" bestFit="1" customWidth="1"/>
    <col min="12812" max="12812" width="11.5703125" style="10" bestFit="1" customWidth="1"/>
    <col min="12813" max="13036" width="11.42578125" style="10"/>
    <col min="13037" max="13037" width="34" style="10" customWidth="1"/>
    <col min="13038" max="13038" width="16.7109375" style="10" customWidth="1"/>
    <col min="13039" max="13039" width="16.28515625" style="10" bestFit="1" customWidth="1"/>
    <col min="13040" max="13040" width="16.140625" style="10" customWidth="1"/>
    <col min="13041" max="13041" width="16.28515625" style="10" bestFit="1" customWidth="1"/>
    <col min="13042" max="13042" width="16.5703125" style="10" customWidth="1"/>
    <col min="13043" max="13044" width="17.7109375" style="10" customWidth="1"/>
    <col min="13045" max="13047" width="16.28515625" style="10" bestFit="1" customWidth="1"/>
    <col min="13048" max="13049" width="16.5703125" style="10" bestFit="1" customWidth="1"/>
    <col min="13050" max="13050" width="20.140625" style="10" bestFit="1" customWidth="1"/>
    <col min="13051" max="13051" width="17.7109375" style="10" bestFit="1" customWidth="1"/>
    <col min="13052" max="13052" width="18.140625" style="10" customWidth="1"/>
    <col min="13053" max="13053" width="17.7109375" style="10" bestFit="1" customWidth="1"/>
    <col min="13054" max="13054" width="20.85546875" style="10" bestFit="1" customWidth="1"/>
    <col min="13055" max="13055" width="20.28515625" style="10" bestFit="1" customWidth="1"/>
    <col min="13056" max="13056" width="21.42578125" style="10" bestFit="1" customWidth="1"/>
    <col min="13057" max="13057" width="20.28515625" style="10" bestFit="1" customWidth="1"/>
    <col min="13058" max="13058" width="16.7109375" style="10" bestFit="1" customWidth="1"/>
    <col min="13059" max="13059" width="15.85546875" style="10" bestFit="1" customWidth="1"/>
    <col min="13060" max="13060" width="17" style="10" bestFit="1" customWidth="1"/>
    <col min="13061" max="13063" width="13.5703125" style="10" bestFit="1" customWidth="1"/>
    <col min="13064" max="13064" width="14.5703125" style="10" bestFit="1" customWidth="1"/>
    <col min="13065" max="13065" width="13" style="10" bestFit="1" customWidth="1"/>
    <col min="13066" max="13066" width="14.5703125" style="10" bestFit="1" customWidth="1"/>
    <col min="13067" max="13067" width="15.140625" style="10" bestFit="1" customWidth="1"/>
    <col min="13068" max="13068" width="11.5703125" style="10" bestFit="1" customWidth="1"/>
    <col min="13069" max="13292" width="11.42578125" style="10"/>
    <col min="13293" max="13293" width="34" style="10" customWidth="1"/>
    <col min="13294" max="13294" width="16.7109375" style="10" customWidth="1"/>
    <col min="13295" max="13295" width="16.28515625" style="10" bestFit="1" customWidth="1"/>
    <col min="13296" max="13296" width="16.140625" style="10" customWidth="1"/>
    <col min="13297" max="13297" width="16.28515625" style="10" bestFit="1" customWidth="1"/>
    <col min="13298" max="13298" width="16.5703125" style="10" customWidth="1"/>
    <col min="13299" max="13300" width="17.7109375" style="10" customWidth="1"/>
    <col min="13301" max="13303" width="16.28515625" style="10" bestFit="1" customWidth="1"/>
    <col min="13304" max="13305" width="16.5703125" style="10" bestFit="1" customWidth="1"/>
    <col min="13306" max="13306" width="20.140625" style="10" bestFit="1" customWidth="1"/>
    <col min="13307" max="13307" width="17.7109375" style="10" bestFit="1" customWidth="1"/>
    <col min="13308" max="13308" width="18.140625" style="10" customWidth="1"/>
    <col min="13309" max="13309" width="17.7109375" style="10" bestFit="1" customWidth="1"/>
    <col min="13310" max="13310" width="20.85546875" style="10" bestFit="1" customWidth="1"/>
    <col min="13311" max="13311" width="20.28515625" style="10" bestFit="1" customWidth="1"/>
    <col min="13312" max="13312" width="21.42578125" style="10" bestFit="1" customWidth="1"/>
    <col min="13313" max="13313" width="20.28515625" style="10" bestFit="1" customWidth="1"/>
    <col min="13314" max="13314" width="16.7109375" style="10" bestFit="1" customWidth="1"/>
    <col min="13315" max="13315" width="15.85546875" style="10" bestFit="1" customWidth="1"/>
    <col min="13316" max="13316" width="17" style="10" bestFit="1" customWidth="1"/>
    <col min="13317" max="13319" width="13.5703125" style="10" bestFit="1" customWidth="1"/>
    <col min="13320" max="13320" width="14.5703125" style="10" bestFit="1" customWidth="1"/>
    <col min="13321" max="13321" width="13" style="10" bestFit="1" customWidth="1"/>
    <col min="13322" max="13322" width="14.5703125" style="10" bestFit="1" customWidth="1"/>
    <col min="13323" max="13323" width="15.140625" style="10" bestFit="1" customWidth="1"/>
    <col min="13324" max="13324" width="11.5703125" style="10" bestFit="1" customWidth="1"/>
    <col min="13325" max="13548" width="11.42578125" style="10"/>
    <col min="13549" max="13549" width="34" style="10" customWidth="1"/>
    <col min="13550" max="13550" width="16.7109375" style="10" customWidth="1"/>
    <col min="13551" max="13551" width="16.28515625" style="10" bestFit="1" customWidth="1"/>
    <col min="13552" max="13552" width="16.140625" style="10" customWidth="1"/>
    <col min="13553" max="13553" width="16.28515625" style="10" bestFit="1" customWidth="1"/>
    <col min="13554" max="13554" width="16.5703125" style="10" customWidth="1"/>
    <col min="13555" max="13556" width="17.7109375" style="10" customWidth="1"/>
    <col min="13557" max="13559" width="16.28515625" style="10" bestFit="1" customWidth="1"/>
    <col min="13560" max="13561" width="16.5703125" style="10" bestFit="1" customWidth="1"/>
    <col min="13562" max="13562" width="20.140625" style="10" bestFit="1" customWidth="1"/>
    <col min="13563" max="13563" width="17.7109375" style="10" bestFit="1" customWidth="1"/>
    <col min="13564" max="13564" width="18.140625" style="10" customWidth="1"/>
    <col min="13565" max="13565" width="17.7109375" style="10" bestFit="1" customWidth="1"/>
    <col min="13566" max="13566" width="20.85546875" style="10" bestFit="1" customWidth="1"/>
    <col min="13567" max="13567" width="20.28515625" style="10" bestFit="1" customWidth="1"/>
    <col min="13568" max="13568" width="21.42578125" style="10" bestFit="1" customWidth="1"/>
    <col min="13569" max="13569" width="20.28515625" style="10" bestFit="1" customWidth="1"/>
    <col min="13570" max="13570" width="16.7109375" style="10" bestFit="1" customWidth="1"/>
    <col min="13571" max="13571" width="15.85546875" style="10" bestFit="1" customWidth="1"/>
    <col min="13572" max="13572" width="17" style="10" bestFit="1" customWidth="1"/>
    <col min="13573" max="13575" width="13.5703125" style="10" bestFit="1" customWidth="1"/>
    <col min="13576" max="13576" width="14.5703125" style="10" bestFit="1" customWidth="1"/>
    <col min="13577" max="13577" width="13" style="10" bestFit="1" customWidth="1"/>
    <col min="13578" max="13578" width="14.5703125" style="10" bestFit="1" customWidth="1"/>
    <col min="13579" max="13579" width="15.140625" style="10" bestFit="1" customWidth="1"/>
    <col min="13580" max="13580" width="11.5703125" style="10" bestFit="1" customWidth="1"/>
    <col min="13581" max="13804" width="11.42578125" style="10"/>
    <col min="13805" max="13805" width="34" style="10" customWidth="1"/>
    <col min="13806" max="13806" width="16.7109375" style="10" customWidth="1"/>
    <col min="13807" max="13807" width="16.28515625" style="10" bestFit="1" customWidth="1"/>
    <col min="13808" max="13808" width="16.140625" style="10" customWidth="1"/>
    <col min="13809" max="13809" width="16.28515625" style="10" bestFit="1" customWidth="1"/>
    <col min="13810" max="13810" width="16.5703125" style="10" customWidth="1"/>
    <col min="13811" max="13812" width="17.7109375" style="10" customWidth="1"/>
    <col min="13813" max="13815" width="16.28515625" style="10" bestFit="1" customWidth="1"/>
    <col min="13816" max="13817" width="16.5703125" style="10" bestFit="1" customWidth="1"/>
    <col min="13818" max="13818" width="20.140625" style="10" bestFit="1" customWidth="1"/>
    <col min="13819" max="13819" width="17.7109375" style="10" bestFit="1" customWidth="1"/>
    <col min="13820" max="13820" width="18.140625" style="10" customWidth="1"/>
    <col min="13821" max="13821" width="17.7109375" style="10" bestFit="1" customWidth="1"/>
    <col min="13822" max="13822" width="20.85546875" style="10" bestFit="1" customWidth="1"/>
    <col min="13823" max="13823" width="20.28515625" style="10" bestFit="1" customWidth="1"/>
    <col min="13824" max="13824" width="21.42578125" style="10" bestFit="1" customWidth="1"/>
    <col min="13825" max="13825" width="20.28515625" style="10" bestFit="1" customWidth="1"/>
    <col min="13826" max="13826" width="16.7109375" style="10" bestFit="1" customWidth="1"/>
    <col min="13827" max="13827" width="15.85546875" style="10" bestFit="1" customWidth="1"/>
    <col min="13828" max="13828" width="17" style="10" bestFit="1" customWidth="1"/>
    <col min="13829" max="13831" width="13.5703125" style="10" bestFit="1" customWidth="1"/>
    <col min="13832" max="13832" width="14.5703125" style="10" bestFit="1" customWidth="1"/>
    <col min="13833" max="13833" width="13" style="10" bestFit="1" customWidth="1"/>
    <col min="13834" max="13834" width="14.5703125" style="10" bestFit="1" customWidth="1"/>
    <col min="13835" max="13835" width="15.140625" style="10" bestFit="1" customWidth="1"/>
    <col min="13836" max="13836" width="11.5703125" style="10" bestFit="1" customWidth="1"/>
    <col min="13837" max="14060" width="11.42578125" style="10"/>
    <col min="14061" max="14061" width="34" style="10" customWidth="1"/>
    <col min="14062" max="14062" width="16.7109375" style="10" customWidth="1"/>
    <col min="14063" max="14063" width="16.28515625" style="10" bestFit="1" customWidth="1"/>
    <col min="14064" max="14064" width="16.140625" style="10" customWidth="1"/>
    <col min="14065" max="14065" width="16.28515625" style="10" bestFit="1" customWidth="1"/>
    <col min="14066" max="14066" width="16.5703125" style="10" customWidth="1"/>
    <col min="14067" max="14068" width="17.7109375" style="10" customWidth="1"/>
    <col min="14069" max="14071" width="16.28515625" style="10" bestFit="1" customWidth="1"/>
    <col min="14072" max="14073" width="16.5703125" style="10" bestFit="1" customWidth="1"/>
    <col min="14074" max="14074" width="20.140625" style="10" bestFit="1" customWidth="1"/>
    <col min="14075" max="14075" width="17.7109375" style="10" bestFit="1" customWidth="1"/>
    <col min="14076" max="14076" width="18.140625" style="10" customWidth="1"/>
    <col min="14077" max="14077" width="17.7109375" style="10" bestFit="1" customWidth="1"/>
    <col min="14078" max="14078" width="20.85546875" style="10" bestFit="1" customWidth="1"/>
    <col min="14079" max="14079" width="20.28515625" style="10" bestFit="1" customWidth="1"/>
    <col min="14080" max="14080" width="21.42578125" style="10" bestFit="1" customWidth="1"/>
    <col min="14081" max="14081" width="20.28515625" style="10" bestFit="1" customWidth="1"/>
    <col min="14082" max="14082" width="16.7109375" style="10" bestFit="1" customWidth="1"/>
    <col min="14083" max="14083" width="15.85546875" style="10" bestFit="1" customWidth="1"/>
    <col min="14084" max="14084" width="17" style="10" bestFit="1" customWidth="1"/>
    <col min="14085" max="14087" width="13.5703125" style="10" bestFit="1" customWidth="1"/>
    <col min="14088" max="14088" width="14.5703125" style="10" bestFit="1" customWidth="1"/>
    <col min="14089" max="14089" width="13" style="10" bestFit="1" customWidth="1"/>
    <col min="14090" max="14090" width="14.5703125" style="10" bestFit="1" customWidth="1"/>
    <col min="14091" max="14091" width="15.140625" style="10" bestFit="1" customWidth="1"/>
    <col min="14092" max="14092" width="11.5703125" style="10" bestFit="1" customWidth="1"/>
    <col min="14093" max="14316" width="11.42578125" style="10"/>
    <col min="14317" max="14317" width="34" style="10" customWidth="1"/>
    <col min="14318" max="14318" width="16.7109375" style="10" customWidth="1"/>
    <col min="14319" max="14319" width="16.28515625" style="10" bestFit="1" customWidth="1"/>
    <col min="14320" max="14320" width="16.140625" style="10" customWidth="1"/>
    <col min="14321" max="14321" width="16.28515625" style="10" bestFit="1" customWidth="1"/>
    <col min="14322" max="14322" width="16.5703125" style="10" customWidth="1"/>
    <col min="14323" max="14324" width="17.7109375" style="10" customWidth="1"/>
    <col min="14325" max="14327" width="16.28515625" style="10" bestFit="1" customWidth="1"/>
    <col min="14328" max="14329" width="16.5703125" style="10" bestFit="1" customWidth="1"/>
    <col min="14330" max="14330" width="20.140625" style="10" bestFit="1" customWidth="1"/>
    <col min="14331" max="14331" width="17.7109375" style="10" bestFit="1" customWidth="1"/>
    <col min="14332" max="14332" width="18.140625" style="10" customWidth="1"/>
    <col min="14333" max="14333" width="17.7109375" style="10" bestFit="1" customWidth="1"/>
    <col min="14334" max="14334" width="20.85546875" style="10" bestFit="1" customWidth="1"/>
    <col min="14335" max="14335" width="20.28515625" style="10" bestFit="1" customWidth="1"/>
    <col min="14336" max="14336" width="21.42578125" style="10" bestFit="1" customWidth="1"/>
    <col min="14337" max="14337" width="20.28515625" style="10" bestFit="1" customWidth="1"/>
    <col min="14338" max="14338" width="16.7109375" style="10" bestFit="1" customWidth="1"/>
    <col min="14339" max="14339" width="15.85546875" style="10" bestFit="1" customWidth="1"/>
    <col min="14340" max="14340" width="17" style="10" bestFit="1" customWidth="1"/>
    <col min="14341" max="14343" width="13.5703125" style="10" bestFit="1" customWidth="1"/>
    <col min="14344" max="14344" width="14.5703125" style="10" bestFit="1" customWidth="1"/>
    <col min="14345" max="14345" width="13" style="10" bestFit="1" customWidth="1"/>
    <col min="14346" max="14346" width="14.5703125" style="10" bestFit="1" customWidth="1"/>
    <col min="14347" max="14347" width="15.140625" style="10" bestFit="1" customWidth="1"/>
    <col min="14348" max="14348" width="11.5703125" style="10" bestFit="1" customWidth="1"/>
    <col min="14349" max="14572" width="11.42578125" style="10"/>
    <col min="14573" max="14573" width="34" style="10" customWidth="1"/>
    <col min="14574" max="14574" width="16.7109375" style="10" customWidth="1"/>
    <col min="14575" max="14575" width="16.28515625" style="10" bestFit="1" customWidth="1"/>
    <col min="14576" max="14576" width="16.140625" style="10" customWidth="1"/>
    <col min="14577" max="14577" width="16.28515625" style="10" bestFit="1" customWidth="1"/>
    <col min="14578" max="14578" width="16.5703125" style="10" customWidth="1"/>
    <col min="14579" max="14580" width="17.7109375" style="10" customWidth="1"/>
    <col min="14581" max="14583" width="16.28515625" style="10" bestFit="1" customWidth="1"/>
    <col min="14584" max="14585" width="16.5703125" style="10" bestFit="1" customWidth="1"/>
    <col min="14586" max="14586" width="20.140625" style="10" bestFit="1" customWidth="1"/>
    <col min="14587" max="14587" width="17.7109375" style="10" bestFit="1" customWidth="1"/>
    <col min="14588" max="14588" width="18.140625" style="10" customWidth="1"/>
    <col min="14589" max="14589" width="17.7109375" style="10" bestFit="1" customWidth="1"/>
    <col min="14590" max="14590" width="20.85546875" style="10" bestFit="1" customWidth="1"/>
    <col min="14591" max="14591" width="20.28515625" style="10" bestFit="1" customWidth="1"/>
    <col min="14592" max="14592" width="21.42578125" style="10" bestFit="1" customWidth="1"/>
    <col min="14593" max="14593" width="20.28515625" style="10" bestFit="1" customWidth="1"/>
    <col min="14594" max="14594" width="16.7109375" style="10" bestFit="1" customWidth="1"/>
    <col min="14595" max="14595" width="15.85546875" style="10" bestFit="1" customWidth="1"/>
    <col min="14596" max="14596" width="17" style="10" bestFit="1" customWidth="1"/>
    <col min="14597" max="14599" width="13.5703125" style="10" bestFit="1" customWidth="1"/>
    <col min="14600" max="14600" width="14.5703125" style="10" bestFit="1" customWidth="1"/>
    <col min="14601" max="14601" width="13" style="10" bestFit="1" customWidth="1"/>
    <col min="14602" max="14602" width="14.5703125" style="10" bestFit="1" customWidth="1"/>
    <col min="14603" max="14603" width="15.140625" style="10" bestFit="1" customWidth="1"/>
    <col min="14604" max="14604" width="11.5703125" style="10" bestFit="1" customWidth="1"/>
    <col min="14605" max="14828" width="11.42578125" style="10"/>
    <col min="14829" max="14829" width="34" style="10" customWidth="1"/>
    <col min="14830" max="14830" width="16.7109375" style="10" customWidth="1"/>
    <col min="14831" max="14831" width="16.28515625" style="10" bestFit="1" customWidth="1"/>
    <col min="14832" max="14832" width="16.140625" style="10" customWidth="1"/>
    <col min="14833" max="14833" width="16.28515625" style="10" bestFit="1" customWidth="1"/>
    <col min="14834" max="14834" width="16.5703125" style="10" customWidth="1"/>
    <col min="14835" max="14836" width="17.7109375" style="10" customWidth="1"/>
    <col min="14837" max="14839" width="16.28515625" style="10" bestFit="1" customWidth="1"/>
    <col min="14840" max="14841" width="16.5703125" style="10" bestFit="1" customWidth="1"/>
    <col min="14842" max="14842" width="20.140625" style="10" bestFit="1" customWidth="1"/>
    <col min="14843" max="14843" width="17.7109375" style="10" bestFit="1" customWidth="1"/>
    <col min="14844" max="14844" width="18.140625" style="10" customWidth="1"/>
    <col min="14845" max="14845" width="17.7109375" style="10" bestFit="1" customWidth="1"/>
    <col min="14846" max="14846" width="20.85546875" style="10" bestFit="1" customWidth="1"/>
    <col min="14847" max="14847" width="20.28515625" style="10" bestFit="1" customWidth="1"/>
    <col min="14848" max="14848" width="21.42578125" style="10" bestFit="1" customWidth="1"/>
    <col min="14849" max="14849" width="20.28515625" style="10" bestFit="1" customWidth="1"/>
    <col min="14850" max="14850" width="16.7109375" style="10" bestFit="1" customWidth="1"/>
    <col min="14851" max="14851" width="15.85546875" style="10" bestFit="1" customWidth="1"/>
    <col min="14852" max="14852" width="17" style="10" bestFit="1" customWidth="1"/>
    <col min="14853" max="14855" width="13.5703125" style="10" bestFit="1" customWidth="1"/>
    <col min="14856" max="14856" width="14.5703125" style="10" bestFit="1" customWidth="1"/>
    <col min="14857" max="14857" width="13" style="10" bestFit="1" customWidth="1"/>
    <col min="14858" max="14858" width="14.5703125" style="10" bestFit="1" customWidth="1"/>
    <col min="14859" max="14859" width="15.140625" style="10" bestFit="1" customWidth="1"/>
    <col min="14860" max="14860" width="11.5703125" style="10" bestFit="1" customWidth="1"/>
    <col min="14861" max="15084" width="11.42578125" style="10"/>
    <col min="15085" max="15085" width="34" style="10" customWidth="1"/>
    <col min="15086" max="15086" width="16.7109375" style="10" customWidth="1"/>
    <col min="15087" max="15087" width="16.28515625" style="10" bestFit="1" customWidth="1"/>
    <col min="15088" max="15088" width="16.140625" style="10" customWidth="1"/>
    <col min="15089" max="15089" width="16.28515625" style="10" bestFit="1" customWidth="1"/>
    <col min="15090" max="15090" width="16.5703125" style="10" customWidth="1"/>
    <col min="15091" max="15092" width="17.7109375" style="10" customWidth="1"/>
    <col min="15093" max="15095" width="16.28515625" style="10" bestFit="1" customWidth="1"/>
    <col min="15096" max="15097" width="16.5703125" style="10" bestFit="1" customWidth="1"/>
    <col min="15098" max="15098" width="20.140625" style="10" bestFit="1" customWidth="1"/>
    <col min="15099" max="15099" width="17.7109375" style="10" bestFit="1" customWidth="1"/>
    <col min="15100" max="15100" width="18.140625" style="10" customWidth="1"/>
    <col min="15101" max="15101" width="17.7109375" style="10" bestFit="1" customWidth="1"/>
    <col min="15102" max="15102" width="20.85546875" style="10" bestFit="1" customWidth="1"/>
    <col min="15103" max="15103" width="20.28515625" style="10" bestFit="1" customWidth="1"/>
    <col min="15104" max="15104" width="21.42578125" style="10" bestFit="1" customWidth="1"/>
    <col min="15105" max="15105" width="20.28515625" style="10" bestFit="1" customWidth="1"/>
    <col min="15106" max="15106" width="16.7109375" style="10" bestFit="1" customWidth="1"/>
    <col min="15107" max="15107" width="15.85546875" style="10" bestFit="1" customWidth="1"/>
    <col min="15108" max="15108" width="17" style="10" bestFit="1" customWidth="1"/>
    <col min="15109" max="15111" width="13.5703125" style="10" bestFit="1" customWidth="1"/>
    <col min="15112" max="15112" width="14.5703125" style="10" bestFit="1" customWidth="1"/>
    <col min="15113" max="15113" width="13" style="10" bestFit="1" customWidth="1"/>
    <col min="15114" max="15114" width="14.5703125" style="10" bestFit="1" customWidth="1"/>
    <col min="15115" max="15115" width="15.140625" style="10" bestFit="1" customWidth="1"/>
    <col min="15116" max="15116" width="11.5703125" style="10" bestFit="1" customWidth="1"/>
    <col min="15117" max="15340" width="11.42578125" style="10"/>
    <col min="15341" max="15341" width="34" style="10" customWidth="1"/>
    <col min="15342" max="15342" width="16.7109375" style="10" customWidth="1"/>
    <col min="15343" max="15343" width="16.28515625" style="10" bestFit="1" customWidth="1"/>
    <col min="15344" max="15344" width="16.140625" style="10" customWidth="1"/>
    <col min="15345" max="15345" width="16.28515625" style="10" bestFit="1" customWidth="1"/>
    <col min="15346" max="15346" width="16.5703125" style="10" customWidth="1"/>
    <col min="15347" max="15348" width="17.7109375" style="10" customWidth="1"/>
    <col min="15349" max="15351" width="16.28515625" style="10" bestFit="1" customWidth="1"/>
    <col min="15352" max="15353" width="16.5703125" style="10" bestFit="1" customWidth="1"/>
    <col min="15354" max="15354" width="20.140625" style="10" bestFit="1" customWidth="1"/>
    <col min="15355" max="15355" width="17.7109375" style="10" bestFit="1" customWidth="1"/>
    <col min="15356" max="15356" width="18.140625" style="10" customWidth="1"/>
    <col min="15357" max="15357" width="17.7109375" style="10" bestFit="1" customWidth="1"/>
    <col min="15358" max="15358" width="20.85546875" style="10" bestFit="1" customWidth="1"/>
    <col min="15359" max="15359" width="20.28515625" style="10" bestFit="1" customWidth="1"/>
    <col min="15360" max="15360" width="21.42578125" style="10" bestFit="1" customWidth="1"/>
    <col min="15361" max="15361" width="20.28515625" style="10" bestFit="1" customWidth="1"/>
    <col min="15362" max="15362" width="16.7109375" style="10" bestFit="1" customWidth="1"/>
    <col min="15363" max="15363" width="15.85546875" style="10" bestFit="1" customWidth="1"/>
    <col min="15364" max="15364" width="17" style="10" bestFit="1" customWidth="1"/>
    <col min="15365" max="15367" width="13.5703125" style="10" bestFit="1" customWidth="1"/>
    <col min="15368" max="15368" width="14.5703125" style="10" bestFit="1" customWidth="1"/>
    <col min="15369" max="15369" width="13" style="10" bestFit="1" customWidth="1"/>
    <col min="15370" max="15370" width="14.5703125" style="10" bestFit="1" customWidth="1"/>
    <col min="15371" max="15371" width="15.140625" style="10" bestFit="1" customWidth="1"/>
    <col min="15372" max="15372" width="11.5703125" style="10" bestFit="1" customWidth="1"/>
    <col min="15373" max="15596" width="11.42578125" style="10"/>
    <col min="15597" max="15597" width="34" style="10" customWidth="1"/>
    <col min="15598" max="15598" width="16.7109375" style="10" customWidth="1"/>
    <col min="15599" max="15599" width="16.28515625" style="10" bestFit="1" customWidth="1"/>
    <col min="15600" max="15600" width="16.140625" style="10" customWidth="1"/>
    <col min="15601" max="15601" width="16.28515625" style="10" bestFit="1" customWidth="1"/>
    <col min="15602" max="15602" width="16.5703125" style="10" customWidth="1"/>
    <col min="15603" max="15604" width="17.7109375" style="10" customWidth="1"/>
    <col min="15605" max="15607" width="16.28515625" style="10" bestFit="1" customWidth="1"/>
    <col min="15608" max="15609" width="16.5703125" style="10" bestFit="1" customWidth="1"/>
    <col min="15610" max="15610" width="20.140625" style="10" bestFit="1" customWidth="1"/>
    <col min="15611" max="15611" width="17.7109375" style="10" bestFit="1" customWidth="1"/>
    <col min="15612" max="15612" width="18.140625" style="10" customWidth="1"/>
    <col min="15613" max="15613" width="17.7109375" style="10" bestFit="1" customWidth="1"/>
    <col min="15614" max="15614" width="20.85546875" style="10" bestFit="1" customWidth="1"/>
    <col min="15615" max="15615" width="20.28515625" style="10" bestFit="1" customWidth="1"/>
    <col min="15616" max="15616" width="21.42578125" style="10" bestFit="1" customWidth="1"/>
    <col min="15617" max="15617" width="20.28515625" style="10" bestFit="1" customWidth="1"/>
    <col min="15618" max="15618" width="16.7109375" style="10" bestFit="1" customWidth="1"/>
    <col min="15619" max="15619" width="15.85546875" style="10" bestFit="1" customWidth="1"/>
    <col min="15620" max="15620" width="17" style="10" bestFit="1" customWidth="1"/>
    <col min="15621" max="15623" width="13.5703125" style="10" bestFit="1" customWidth="1"/>
    <col min="15624" max="15624" width="14.5703125" style="10" bestFit="1" customWidth="1"/>
    <col min="15625" max="15625" width="13" style="10" bestFit="1" customWidth="1"/>
    <col min="15626" max="15626" width="14.5703125" style="10" bestFit="1" customWidth="1"/>
    <col min="15627" max="15627" width="15.140625" style="10" bestFit="1" customWidth="1"/>
    <col min="15628" max="15628" width="11.5703125" style="10" bestFit="1" customWidth="1"/>
    <col min="15629" max="15852" width="11.42578125" style="10"/>
    <col min="15853" max="15853" width="34" style="10" customWidth="1"/>
    <col min="15854" max="15854" width="16.7109375" style="10" customWidth="1"/>
    <col min="15855" max="15855" width="16.28515625" style="10" bestFit="1" customWidth="1"/>
    <col min="15856" max="15856" width="16.140625" style="10" customWidth="1"/>
    <col min="15857" max="15857" width="16.28515625" style="10" bestFit="1" customWidth="1"/>
    <col min="15858" max="15858" width="16.5703125" style="10" customWidth="1"/>
    <col min="15859" max="15860" width="17.7109375" style="10" customWidth="1"/>
    <col min="15861" max="15863" width="16.28515625" style="10" bestFit="1" customWidth="1"/>
    <col min="15864" max="15865" width="16.5703125" style="10" bestFit="1" customWidth="1"/>
    <col min="15866" max="15866" width="20.140625" style="10" bestFit="1" customWidth="1"/>
    <col min="15867" max="15867" width="17.7109375" style="10" bestFit="1" customWidth="1"/>
    <col min="15868" max="15868" width="18.140625" style="10" customWidth="1"/>
    <col min="15869" max="15869" width="17.7109375" style="10" bestFit="1" customWidth="1"/>
    <col min="15870" max="15870" width="20.85546875" style="10" bestFit="1" customWidth="1"/>
    <col min="15871" max="15871" width="20.28515625" style="10" bestFit="1" customWidth="1"/>
    <col min="15872" max="15872" width="21.42578125" style="10" bestFit="1" customWidth="1"/>
    <col min="15873" max="15873" width="20.28515625" style="10" bestFit="1" customWidth="1"/>
    <col min="15874" max="15874" width="16.7109375" style="10" bestFit="1" customWidth="1"/>
    <col min="15875" max="15875" width="15.85546875" style="10" bestFit="1" customWidth="1"/>
    <col min="15876" max="15876" width="17" style="10" bestFit="1" customWidth="1"/>
    <col min="15877" max="15879" width="13.5703125" style="10" bestFit="1" customWidth="1"/>
    <col min="15880" max="15880" width="14.5703125" style="10" bestFit="1" customWidth="1"/>
    <col min="15881" max="15881" width="13" style="10" bestFit="1" customWidth="1"/>
    <col min="15882" max="15882" width="14.5703125" style="10" bestFit="1" customWidth="1"/>
    <col min="15883" max="15883" width="15.140625" style="10" bestFit="1" customWidth="1"/>
    <col min="15884" max="15884" width="11.5703125" style="10" bestFit="1" customWidth="1"/>
    <col min="15885" max="16108" width="11.42578125" style="10"/>
    <col min="16109" max="16109" width="34" style="10" customWidth="1"/>
    <col min="16110" max="16110" width="16.7109375" style="10" customWidth="1"/>
    <col min="16111" max="16111" width="16.28515625" style="10" bestFit="1" customWidth="1"/>
    <col min="16112" max="16112" width="16.140625" style="10" customWidth="1"/>
    <col min="16113" max="16113" width="16.28515625" style="10" bestFit="1" customWidth="1"/>
    <col min="16114" max="16114" width="16.5703125" style="10" customWidth="1"/>
    <col min="16115" max="16116" width="17.7109375" style="10" customWidth="1"/>
    <col min="16117" max="16119" width="16.28515625" style="10" bestFit="1" customWidth="1"/>
    <col min="16120" max="16121" width="16.5703125" style="10" bestFit="1" customWidth="1"/>
    <col min="16122" max="16122" width="20.140625" style="10" bestFit="1" customWidth="1"/>
    <col min="16123" max="16123" width="17.7109375" style="10" bestFit="1" customWidth="1"/>
    <col min="16124" max="16124" width="18.140625" style="10" customWidth="1"/>
    <col min="16125" max="16125" width="17.7109375" style="10" bestFit="1" customWidth="1"/>
    <col min="16126" max="16126" width="20.85546875" style="10" bestFit="1" customWidth="1"/>
    <col min="16127" max="16127" width="20.28515625" style="10" bestFit="1" customWidth="1"/>
    <col min="16128" max="16128" width="21.42578125" style="10" bestFit="1" customWidth="1"/>
    <col min="16129" max="16129" width="20.28515625" style="10" bestFit="1" customWidth="1"/>
    <col min="16130" max="16130" width="16.7109375" style="10" bestFit="1" customWidth="1"/>
    <col min="16131" max="16131" width="15.85546875" style="10" bestFit="1" customWidth="1"/>
    <col min="16132" max="16132" width="17" style="10" bestFit="1" customWidth="1"/>
    <col min="16133" max="16135" width="13.5703125" style="10" bestFit="1" customWidth="1"/>
    <col min="16136" max="16136" width="14.5703125" style="10" bestFit="1" customWidth="1"/>
    <col min="16137" max="16137" width="13" style="10" bestFit="1" customWidth="1"/>
    <col min="16138" max="16138" width="14.5703125" style="10" bestFit="1" customWidth="1"/>
    <col min="16139" max="16139" width="15.140625" style="10" bestFit="1" customWidth="1"/>
    <col min="16140" max="16140" width="11.5703125" style="10" bestFit="1" customWidth="1"/>
    <col min="16141" max="16384" width="11.42578125" style="10"/>
  </cols>
  <sheetData>
    <row r="1" spans="1:63" s="1" customFormat="1" ht="21.75" customHeight="1" x14ac:dyDescent="0.2"/>
    <row r="2" spans="1:63" s="1" customFormat="1" ht="23.25" customHeight="1" thickBot="1" x14ac:dyDescent="0.25">
      <c r="A2" s="104" t="s">
        <v>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54" t="s">
        <v>91</v>
      </c>
    </row>
    <row r="3" spans="1:63" s="1" customFormat="1" ht="21.75" customHeight="1" thickBot="1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63" s="1" customFormat="1" ht="21.75" customHeight="1" x14ac:dyDescent="0.2">
      <c r="A4" s="72" t="s">
        <v>14</v>
      </c>
      <c r="B4" s="73">
        <f t="shared" ref="B4:N4" si="0">B5/B15</f>
        <v>9.364897593904411</v>
      </c>
      <c r="C4" s="74">
        <f t="shared" si="0"/>
        <v>9.4870002354938059</v>
      </c>
      <c r="D4" s="74">
        <f t="shared" si="0"/>
        <v>9.4870000534578374</v>
      </c>
      <c r="E4" s="74" t="e">
        <f t="shared" si="0"/>
        <v>#DIV/0!</v>
      </c>
      <c r="F4" s="74" t="e">
        <f t="shared" si="0"/>
        <v>#DIV/0!</v>
      </c>
      <c r="G4" s="74" t="e">
        <f t="shared" si="0"/>
        <v>#DIV/0!</v>
      </c>
      <c r="H4" s="74" t="e">
        <f t="shared" si="0"/>
        <v>#DIV/0!</v>
      </c>
      <c r="I4" s="74" t="e">
        <f t="shared" si="0"/>
        <v>#DIV/0!</v>
      </c>
      <c r="J4" s="74" t="e">
        <f t="shared" si="0"/>
        <v>#DIV/0!</v>
      </c>
      <c r="K4" s="74" t="e">
        <f t="shared" si="0"/>
        <v>#DIV/0!</v>
      </c>
      <c r="L4" s="74" t="e">
        <f t="shared" si="0"/>
        <v>#DIV/0!</v>
      </c>
      <c r="M4" s="74" t="e">
        <f t="shared" si="0"/>
        <v>#DIV/0!</v>
      </c>
      <c r="N4" s="75">
        <f t="shared" si="0"/>
        <v>9.4462928669898929</v>
      </c>
    </row>
    <row r="5" spans="1:63" s="1" customFormat="1" ht="21.75" customHeight="1" x14ac:dyDescent="0.2">
      <c r="A5" s="6" t="s">
        <v>76</v>
      </c>
      <c r="B5" s="42">
        <v>37132717.990000002</v>
      </c>
      <c r="C5" s="42">
        <f>'[1]2025'!$C$5</f>
        <v>36602655.700000003</v>
      </c>
      <c r="D5" s="42">
        <f>'[1]2025'!$D$5</f>
        <v>38613263.380000003</v>
      </c>
      <c r="E5" s="42"/>
      <c r="F5" s="42"/>
      <c r="G5" s="42"/>
      <c r="H5" s="42"/>
      <c r="I5" s="42"/>
      <c r="J5" s="42"/>
      <c r="K5" s="42"/>
      <c r="L5" s="42"/>
      <c r="M5" s="42"/>
      <c r="N5" s="23">
        <f t="shared" ref="N5:N12" si="1">SUM(B5:M5)</f>
        <v>112348637.06999999</v>
      </c>
    </row>
    <row r="6" spans="1:63" s="1" customFormat="1" ht="21.75" customHeight="1" x14ac:dyDescent="0.25">
      <c r="A6" s="6" t="s">
        <v>74</v>
      </c>
      <c r="B6" s="42">
        <v>24537203.399999999</v>
      </c>
      <c r="C6" s="42">
        <f>[2]RECUST!$K$6</f>
        <v>26124321.329999998</v>
      </c>
      <c r="D6" s="42">
        <f>[3]RECUST!$K$6</f>
        <v>25742526.129999999</v>
      </c>
      <c r="E6" s="42"/>
      <c r="F6" s="42"/>
      <c r="G6" s="42"/>
      <c r="H6" s="42"/>
      <c r="I6" s="42"/>
      <c r="J6" s="42"/>
      <c r="K6" s="42"/>
      <c r="L6" s="42"/>
      <c r="M6" s="42"/>
      <c r="N6" s="23">
        <f t="shared" si="1"/>
        <v>76404050.859999999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</row>
    <row r="7" spans="1:63" s="1" customFormat="1" ht="21.75" customHeight="1" x14ac:dyDescent="0.25">
      <c r="A7" s="76" t="s">
        <v>38</v>
      </c>
      <c r="B7" s="102">
        <f>B6*0.05</f>
        <v>1226860.17</v>
      </c>
      <c r="C7" s="102">
        <f t="shared" ref="C7:M7" si="2">C6*0.05</f>
        <v>1306216.0665</v>
      </c>
      <c r="D7" s="102">
        <f t="shared" si="2"/>
        <v>1287126.3064999999</v>
      </c>
      <c r="E7" s="102">
        <f t="shared" si="2"/>
        <v>0</v>
      </c>
      <c r="F7" s="102">
        <f t="shared" si="2"/>
        <v>0</v>
      </c>
      <c r="G7" s="102">
        <f t="shared" si="2"/>
        <v>0</v>
      </c>
      <c r="H7" s="102">
        <f t="shared" si="2"/>
        <v>0</v>
      </c>
      <c r="I7" s="102">
        <f t="shared" si="2"/>
        <v>0</v>
      </c>
      <c r="J7" s="102">
        <f t="shared" si="2"/>
        <v>0</v>
      </c>
      <c r="K7" s="102">
        <f t="shared" si="2"/>
        <v>0</v>
      </c>
      <c r="L7" s="102">
        <f t="shared" si="2"/>
        <v>0</v>
      </c>
      <c r="M7" s="102">
        <f t="shared" si="2"/>
        <v>0</v>
      </c>
      <c r="N7" s="85">
        <f t="shared" si="1"/>
        <v>3820202.5429999996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</row>
    <row r="8" spans="1:63" s="1" customFormat="1" ht="21.75" customHeight="1" x14ac:dyDescent="0.25">
      <c r="A8" s="76" t="s">
        <v>77</v>
      </c>
      <c r="B8" s="102">
        <f>B6-B7</f>
        <v>23310343.229999997</v>
      </c>
      <c r="C8" s="102">
        <f t="shared" ref="C8:M8" si="3">C6-C7</f>
        <v>24818105.263499998</v>
      </c>
      <c r="D8" s="102">
        <f t="shared" si="3"/>
        <v>24455399.8235</v>
      </c>
      <c r="E8" s="102">
        <f t="shared" si="3"/>
        <v>0</v>
      </c>
      <c r="F8" s="102">
        <f t="shared" si="3"/>
        <v>0</v>
      </c>
      <c r="G8" s="102">
        <f t="shared" si="3"/>
        <v>0</v>
      </c>
      <c r="H8" s="102">
        <f t="shared" si="3"/>
        <v>0</v>
      </c>
      <c r="I8" s="102">
        <f t="shared" si="3"/>
        <v>0</v>
      </c>
      <c r="J8" s="102">
        <f t="shared" si="3"/>
        <v>0</v>
      </c>
      <c r="K8" s="102">
        <f t="shared" si="3"/>
        <v>0</v>
      </c>
      <c r="L8" s="102">
        <f t="shared" si="3"/>
        <v>0</v>
      </c>
      <c r="M8" s="102">
        <f t="shared" si="3"/>
        <v>0</v>
      </c>
      <c r="N8" s="85">
        <f t="shared" si="1"/>
        <v>72583848.317000002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s="1" customFormat="1" ht="21.75" customHeight="1" x14ac:dyDescent="0.25">
      <c r="A9" s="76" t="s">
        <v>78</v>
      </c>
      <c r="B9" s="102">
        <f>B8*0.0264</f>
        <v>615393.06127199996</v>
      </c>
      <c r="C9" s="102">
        <f t="shared" ref="C9:M9" si="4">C8*0.0264</f>
        <v>655197.97895639995</v>
      </c>
      <c r="D9" s="102">
        <f t="shared" si="4"/>
        <v>645622.55534039997</v>
      </c>
      <c r="E9" s="102">
        <f t="shared" si="4"/>
        <v>0</v>
      </c>
      <c r="F9" s="102">
        <f t="shared" si="4"/>
        <v>0</v>
      </c>
      <c r="G9" s="102">
        <f t="shared" si="4"/>
        <v>0</v>
      </c>
      <c r="H9" s="102">
        <f t="shared" si="4"/>
        <v>0</v>
      </c>
      <c r="I9" s="102">
        <f t="shared" si="4"/>
        <v>0</v>
      </c>
      <c r="J9" s="102">
        <f t="shared" si="4"/>
        <v>0</v>
      </c>
      <c r="K9" s="102">
        <f t="shared" si="4"/>
        <v>0</v>
      </c>
      <c r="L9" s="102">
        <f t="shared" si="4"/>
        <v>0</v>
      </c>
      <c r="M9" s="102">
        <f t="shared" si="4"/>
        <v>0</v>
      </c>
      <c r="N9" s="85">
        <f t="shared" si="1"/>
        <v>1916213.5955687999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3" s="1" customFormat="1" ht="21.75" customHeight="1" x14ac:dyDescent="0.25">
      <c r="A10" s="6" t="s">
        <v>79</v>
      </c>
      <c r="B10" s="42">
        <v>193765.08</v>
      </c>
      <c r="C10" s="42">
        <f>'[4]SUBSÍDIO JANEIRO 2025'!$C$8</f>
        <v>192412.27931517366</v>
      </c>
      <c r="D10" s="42">
        <f>'[5]SUBSÍDIO JANEIRO 2025'!$C$8</f>
        <v>191831.47343183798</v>
      </c>
      <c r="E10" s="42"/>
      <c r="F10" s="42"/>
      <c r="G10" s="42"/>
      <c r="H10" s="42"/>
      <c r="I10" s="42"/>
      <c r="J10" s="42"/>
      <c r="K10" s="42"/>
      <c r="L10" s="42"/>
      <c r="M10" s="42"/>
      <c r="N10" s="23">
        <f t="shared" si="1"/>
        <v>578008.83274701168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s="1" customFormat="1" ht="21.75" customHeight="1" x14ac:dyDescent="0.25">
      <c r="A11" s="76" t="s">
        <v>87</v>
      </c>
      <c r="B11" s="102">
        <f>B5-B8-B9-B10</f>
        <v>13013216.618728006</v>
      </c>
      <c r="C11" s="102">
        <f t="shared" ref="C11:M11" si="5">C5-C8-C9-C10</f>
        <v>10936940.178228432</v>
      </c>
      <c r="D11" s="102">
        <f t="shared" si="5"/>
        <v>13320409.527727764</v>
      </c>
      <c r="E11" s="102">
        <f t="shared" si="5"/>
        <v>0</v>
      </c>
      <c r="F11" s="102">
        <f t="shared" si="5"/>
        <v>0</v>
      </c>
      <c r="G11" s="102">
        <f t="shared" si="5"/>
        <v>0</v>
      </c>
      <c r="H11" s="102">
        <f t="shared" si="5"/>
        <v>0</v>
      </c>
      <c r="I11" s="102">
        <f t="shared" si="5"/>
        <v>0</v>
      </c>
      <c r="J11" s="102">
        <f t="shared" si="5"/>
        <v>0</v>
      </c>
      <c r="K11" s="102">
        <f t="shared" si="5"/>
        <v>0</v>
      </c>
      <c r="L11" s="102">
        <f t="shared" si="5"/>
        <v>0</v>
      </c>
      <c r="M11" s="102">
        <f t="shared" si="5"/>
        <v>0</v>
      </c>
      <c r="N11" s="85">
        <f t="shared" si="1"/>
        <v>37270566.324684203</v>
      </c>
      <c r="O11" s="7"/>
      <c r="P11" s="6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1:63" s="1" customFormat="1" ht="21.75" customHeight="1" x14ac:dyDescent="0.25">
      <c r="A12" s="76" t="s">
        <v>88</v>
      </c>
      <c r="B12" s="102">
        <f>B11*0.05</f>
        <v>650660.83093640034</v>
      </c>
      <c r="C12" s="102">
        <f t="shared" ref="C12:M12" si="6">C11*0.05</f>
        <v>546847.00891142164</v>
      </c>
      <c r="D12" s="102">
        <f t="shared" si="6"/>
        <v>666020.4763863883</v>
      </c>
      <c r="E12" s="102">
        <f t="shared" si="6"/>
        <v>0</v>
      </c>
      <c r="F12" s="102">
        <f t="shared" si="6"/>
        <v>0</v>
      </c>
      <c r="G12" s="102">
        <f t="shared" si="6"/>
        <v>0</v>
      </c>
      <c r="H12" s="102">
        <f t="shared" si="6"/>
        <v>0</v>
      </c>
      <c r="I12" s="102">
        <f t="shared" si="6"/>
        <v>0</v>
      </c>
      <c r="J12" s="102">
        <f t="shared" si="6"/>
        <v>0</v>
      </c>
      <c r="K12" s="102">
        <f t="shared" si="6"/>
        <v>0</v>
      </c>
      <c r="L12" s="102">
        <f t="shared" si="6"/>
        <v>0</v>
      </c>
      <c r="M12" s="102">
        <f t="shared" si="6"/>
        <v>0</v>
      </c>
      <c r="N12" s="85">
        <f t="shared" si="1"/>
        <v>1863528.3162342103</v>
      </c>
      <c r="O12" s="7"/>
      <c r="P12" s="61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</row>
    <row r="13" spans="1:63" s="1" customFormat="1" ht="21.75" customHeight="1" x14ac:dyDescent="0.25">
      <c r="A13" s="76" t="s">
        <v>36</v>
      </c>
      <c r="B13" s="77">
        <f t="shared" ref="B13:N13" si="7">B31/B15</f>
        <v>1.6016830361736514</v>
      </c>
      <c r="C13" s="78">
        <f t="shared" si="7"/>
        <v>1.7341501728688544</v>
      </c>
      <c r="D13" s="78">
        <f t="shared" si="7"/>
        <v>1.6498191605313537</v>
      </c>
      <c r="E13" s="78" t="e">
        <f t="shared" si="7"/>
        <v>#DIV/0!</v>
      </c>
      <c r="F13" s="78" t="e">
        <f t="shared" si="7"/>
        <v>#DIV/0!</v>
      </c>
      <c r="G13" s="78" t="e">
        <f t="shared" si="7"/>
        <v>#DIV/0!</v>
      </c>
      <c r="H13" s="78" t="e">
        <f t="shared" si="7"/>
        <v>#DIV/0!</v>
      </c>
      <c r="I13" s="78" t="e">
        <f t="shared" si="7"/>
        <v>#DIV/0!</v>
      </c>
      <c r="J13" s="78" t="e">
        <f t="shared" si="7"/>
        <v>#DIV/0!</v>
      </c>
      <c r="K13" s="78" t="e">
        <f t="shared" si="7"/>
        <v>#DIV/0!</v>
      </c>
      <c r="L13" s="78" t="e">
        <f t="shared" si="7"/>
        <v>#DIV/0!</v>
      </c>
      <c r="M13" s="78" t="e">
        <f t="shared" si="7"/>
        <v>#DIV/0!</v>
      </c>
      <c r="N13" s="79">
        <f t="shared" si="7"/>
        <v>1.6611280085727338</v>
      </c>
      <c r="O13" s="7"/>
      <c r="P13" s="61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</row>
    <row r="14" spans="1:63" s="1" customFormat="1" ht="21.75" customHeight="1" x14ac:dyDescent="0.25">
      <c r="A14" s="76" t="s">
        <v>16</v>
      </c>
      <c r="B14" s="80">
        <f t="shared" ref="B14:N14" si="8">B31/B16</f>
        <v>41.49104628752491</v>
      </c>
      <c r="C14" s="81">
        <f t="shared" si="8"/>
        <v>44.783081886453999</v>
      </c>
      <c r="D14" s="81">
        <f t="shared" si="8"/>
        <v>42.504370723432267</v>
      </c>
      <c r="E14" s="81" t="e">
        <f t="shared" si="8"/>
        <v>#DIV/0!</v>
      </c>
      <c r="F14" s="81" t="e">
        <f t="shared" si="8"/>
        <v>#DIV/0!</v>
      </c>
      <c r="G14" s="81" t="e">
        <f t="shared" si="8"/>
        <v>#DIV/0!</v>
      </c>
      <c r="H14" s="81" t="e">
        <f t="shared" si="8"/>
        <v>#DIV/0!</v>
      </c>
      <c r="I14" s="81" t="e">
        <f t="shared" si="8"/>
        <v>#DIV/0!</v>
      </c>
      <c r="J14" s="81" t="e">
        <f t="shared" si="8"/>
        <v>#DIV/0!</v>
      </c>
      <c r="K14" s="81" t="e">
        <f t="shared" si="8"/>
        <v>#DIV/0!</v>
      </c>
      <c r="L14" s="81" t="e">
        <f t="shared" si="8"/>
        <v>#DIV/0!</v>
      </c>
      <c r="M14" s="81" t="e">
        <f t="shared" si="8"/>
        <v>#DIV/0!</v>
      </c>
      <c r="N14" s="82">
        <f t="shared" si="8"/>
        <v>42.90688891301987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</row>
    <row r="15" spans="1:63" s="1" customFormat="1" ht="21.75" customHeight="1" x14ac:dyDescent="0.25">
      <c r="A15" s="6" t="s">
        <v>17</v>
      </c>
      <c r="B15" s="24">
        <f>6350.8+3958745.2</f>
        <v>3965096</v>
      </c>
      <c r="C15" s="24">
        <f>'[1]2025'!$C$14</f>
        <v>3858190.66</v>
      </c>
      <c r="D15" s="24">
        <f>'[1]2025'!$D$14</f>
        <v>4070123.6599999997</v>
      </c>
      <c r="E15" s="24"/>
      <c r="F15" s="24"/>
      <c r="G15" s="24"/>
      <c r="H15" s="24"/>
      <c r="I15" s="24"/>
      <c r="J15" s="24"/>
      <c r="K15" s="24"/>
      <c r="L15" s="24"/>
      <c r="M15" s="24"/>
      <c r="N15" s="23">
        <f>SUM(B15:M15)</f>
        <v>11893410.32</v>
      </c>
      <c r="O15" s="7"/>
      <c r="P15" s="61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</row>
    <row r="16" spans="1:63" s="1" customFormat="1" ht="21.75" customHeight="1" x14ac:dyDescent="0.25">
      <c r="A16" s="6" t="s">
        <v>18</v>
      </c>
      <c r="B16" s="24">
        <f>292.5+152772.5</f>
        <v>153065</v>
      </c>
      <c r="C16" s="24">
        <f>'[1]2025'!$C$15</f>
        <v>149402</v>
      </c>
      <c r="D16" s="24">
        <f>'[1]2025'!$D$15</f>
        <v>157983</v>
      </c>
      <c r="E16" s="24"/>
      <c r="F16" s="24"/>
      <c r="G16" s="24"/>
      <c r="H16" s="24"/>
      <c r="I16" s="24"/>
      <c r="J16" s="24"/>
      <c r="K16" s="24"/>
      <c r="L16" s="24"/>
      <c r="M16" s="24"/>
      <c r="N16" s="23">
        <f>SUM(B16:M16)</f>
        <v>460450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</row>
    <row r="17" spans="1:63" s="1" customFormat="1" ht="21.75" customHeight="1" x14ac:dyDescent="0.25">
      <c r="A17" s="76" t="s">
        <v>37</v>
      </c>
      <c r="B17" s="83">
        <f t="shared" ref="B17:M17" si="9">B15/B20</f>
        <v>5514.7371349095965</v>
      </c>
      <c r="C17" s="84">
        <f t="shared" si="9"/>
        <v>5366.0509874826148</v>
      </c>
      <c r="D17" s="84">
        <f t="shared" si="9"/>
        <v>5652.9495277777769</v>
      </c>
      <c r="E17" s="84" t="e">
        <f t="shared" si="9"/>
        <v>#DIV/0!</v>
      </c>
      <c r="F17" s="84" t="e">
        <f t="shared" si="9"/>
        <v>#DIV/0!</v>
      </c>
      <c r="G17" s="84" t="e">
        <f t="shared" si="9"/>
        <v>#DIV/0!</v>
      </c>
      <c r="H17" s="84" t="e">
        <f t="shared" si="9"/>
        <v>#DIV/0!</v>
      </c>
      <c r="I17" s="84" t="e">
        <f t="shared" si="9"/>
        <v>#DIV/0!</v>
      </c>
      <c r="J17" s="84" t="e">
        <f t="shared" si="9"/>
        <v>#DIV/0!</v>
      </c>
      <c r="K17" s="84" t="e">
        <f t="shared" si="9"/>
        <v>#DIV/0!</v>
      </c>
      <c r="L17" s="84" t="e">
        <f t="shared" si="9"/>
        <v>#DIV/0!</v>
      </c>
      <c r="M17" s="84" t="e">
        <f t="shared" si="9"/>
        <v>#DIV/0!</v>
      </c>
      <c r="N17" s="85" t="e">
        <f>AVERAGE(B17:M17)</f>
        <v>#DIV/0!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3" s="1" customFormat="1" ht="21.75" customHeight="1" x14ac:dyDescent="0.25">
      <c r="A18" s="76" t="s">
        <v>19</v>
      </c>
      <c r="B18" s="93">
        <f t="shared" ref="B18:D18" si="10">B21+B23+B25+B27+B29</f>
        <v>788</v>
      </c>
      <c r="C18" s="93">
        <f t="shared" si="10"/>
        <v>789</v>
      </c>
      <c r="D18" s="93">
        <f t="shared" si="10"/>
        <v>790</v>
      </c>
      <c r="E18" s="93">
        <f t="shared" ref="E18:M18" si="11">E21+E23+E25+E27+E29</f>
        <v>0</v>
      </c>
      <c r="F18" s="93">
        <f t="shared" si="11"/>
        <v>0</v>
      </c>
      <c r="G18" s="93">
        <f t="shared" si="11"/>
        <v>0</v>
      </c>
      <c r="H18" s="93">
        <f t="shared" si="11"/>
        <v>0</v>
      </c>
      <c r="I18" s="93">
        <f t="shared" si="11"/>
        <v>0</v>
      </c>
      <c r="J18" s="93">
        <f t="shared" si="11"/>
        <v>0</v>
      </c>
      <c r="K18" s="93">
        <f t="shared" si="11"/>
        <v>0</v>
      </c>
      <c r="L18" s="93">
        <f t="shared" si="11"/>
        <v>0</v>
      </c>
      <c r="M18" s="93">
        <f t="shared" si="11"/>
        <v>0</v>
      </c>
      <c r="N18" s="94">
        <f>AVERAGE(B18:M18)</f>
        <v>197.25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3" s="1" customFormat="1" ht="21.75" customHeight="1" x14ac:dyDescent="0.25">
      <c r="A19" s="6" t="s">
        <v>30</v>
      </c>
      <c r="B19" s="42">
        <f>[6]GECON!$K$5</f>
        <v>7.09005376344086</v>
      </c>
      <c r="C19" s="43">
        <f>[7]GECON!$G$20</f>
        <v>7.0968399592252807</v>
      </c>
      <c r="D19" s="43">
        <f>[8]GECON!$G$20</f>
        <v>7.08469387755102</v>
      </c>
      <c r="E19" s="43"/>
      <c r="F19" s="43"/>
      <c r="G19" s="43"/>
      <c r="H19" s="43"/>
      <c r="I19" s="43"/>
      <c r="J19" s="43"/>
      <c r="K19" s="43"/>
      <c r="L19" s="43"/>
      <c r="M19" s="43"/>
      <c r="N19" s="23">
        <f>AVERAGE(B19:M19)</f>
        <v>7.0905292000723863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</row>
    <row r="20" spans="1:63" s="1" customFormat="1" ht="21.75" customHeight="1" x14ac:dyDescent="0.25">
      <c r="A20" s="8" t="s">
        <v>20</v>
      </c>
      <c r="B20" s="28">
        <f>[9]GECON!$C$11</f>
        <v>719</v>
      </c>
      <c r="C20" s="28">
        <f>[7]GECON!$C$11</f>
        <v>719</v>
      </c>
      <c r="D20" s="28">
        <f>[8]GECON!$C$11</f>
        <v>720</v>
      </c>
      <c r="E20" s="29"/>
      <c r="F20" s="29"/>
      <c r="G20" s="29"/>
      <c r="H20" s="29"/>
      <c r="I20" s="29"/>
      <c r="J20" s="29"/>
      <c r="K20" s="29"/>
      <c r="L20" s="29"/>
      <c r="M20" s="29"/>
      <c r="N20" s="26">
        <f t="shared" ref="N20:N30" si="12">AVERAGE(B20:M20)</f>
        <v>719.33333333333337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</row>
    <row r="21" spans="1:63" s="1" customFormat="1" ht="21.75" customHeight="1" x14ac:dyDescent="0.25">
      <c r="A21" s="6" t="s">
        <v>82</v>
      </c>
      <c r="B21" s="28">
        <f>[9]GECON!$F$5</f>
        <v>729</v>
      </c>
      <c r="C21" s="29">
        <f>[7]GECON!$F$5</f>
        <v>729</v>
      </c>
      <c r="D21" s="29">
        <f>[8]GECON!$F$5</f>
        <v>729</v>
      </c>
      <c r="E21" s="29"/>
      <c r="F21" s="29"/>
      <c r="G21" s="29"/>
      <c r="H21" s="29"/>
      <c r="I21" s="29"/>
      <c r="J21" s="29"/>
      <c r="K21" s="29"/>
      <c r="L21" s="29"/>
      <c r="M21" s="29"/>
      <c r="N21" s="27">
        <f t="shared" si="12"/>
        <v>729</v>
      </c>
      <c r="O21" s="7" t="s">
        <v>92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</row>
    <row r="22" spans="1:63" s="1" customFormat="1" ht="21.75" customHeight="1" x14ac:dyDescent="0.25">
      <c r="A22" s="6" t="s">
        <v>30</v>
      </c>
      <c r="B22" s="42">
        <f>[6]GECON!$G$5</f>
        <v>7.0205761316872426</v>
      </c>
      <c r="C22" s="43">
        <f>[7]GECON!$G$5</f>
        <v>7.0027434842249656</v>
      </c>
      <c r="D22" s="43">
        <f>[8]GECON!$G$14</f>
        <v>7.057713651498335</v>
      </c>
      <c r="E22" s="43"/>
      <c r="F22" s="43"/>
      <c r="G22" s="43"/>
      <c r="H22" s="43"/>
      <c r="I22" s="43"/>
      <c r="J22" s="43"/>
      <c r="K22" s="43"/>
      <c r="L22" s="43"/>
      <c r="M22" s="43"/>
      <c r="N22" s="23">
        <f t="shared" si="12"/>
        <v>7.027011089136848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</row>
    <row r="23" spans="1:63" s="1" customFormat="1" ht="21.75" customHeight="1" x14ac:dyDescent="0.2">
      <c r="A23" s="6" t="s">
        <v>83</v>
      </c>
      <c r="B23" s="28">
        <f>[9]GECON!$F$8</f>
        <v>35</v>
      </c>
      <c r="C23" s="29">
        <f>[7]GECON!$F$8</f>
        <v>36</v>
      </c>
      <c r="D23" s="29">
        <f>[8]GECON!$F$8</f>
        <v>36</v>
      </c>
      <c r="E23" s="29"/>
      <c r="F23" s="29"/>
      <c r="G23" s="29"/>
      <c r="H23" s="29"/>
      <c r="I23" s="29"/>
      <c r="J23" s="29"/>
      <c r="K23" s="29"/>
      <c r="L23" s="29"/>
      <c r="M23" s="29"/>
      <c r="N23" s="30">
        <f t="shared" si="12"/>
        <v>35.666666666666664</v>
      </c>
      <c r="O23" s="103"/>
    </row>
    <row r="24" spans="1:63" s="1" customFormat="1" ht="21.75" customHeight="1" x14ac:dyDescent="0.2">
      <c r="A24" s="6" t="s">
        <v>30</v>
      </c>
      <c r="B24" s="42">
        <f>[6]GECON!$G$8</f>
        <v>10.057142857142857</v>
      </c>
      <c r="C24" s="43">
        <f>[7]GECON!$G$8</f>
        <v>10.194444444444445</v>
      </c>
      <c r="D24" s="43">
        <f>[8]GECON!$G$8</f>
        <v>10.194444444444445</v>
      </c>
      <c r="E24" s="43"/>
      <c r="F24" s="43"/>
      <c r="G24" s="43"/>
      <c r="H24" s="43"/>
      <c r="I24" s="43"/>
      <c r="J24" s="43"/>
      <c r="K24" s="43"/>
      <c r="L24" s="43"/>
      <c r="M24" s="43"/>
      <c r="N24" s="23">
        <f t="shared" si="12"/>
        <v>10.148677248677247</v>
      </c>
    </row>
    <row r="25" spans="1:63" s="1" customFormat="1" ht="21.75" customHeight="1" x14ac:dyDescent="0.2">
      <c r="A25" s="6" t="s">
        <v>84</v>
      </c>
      <c r="B25" s="28">
        <f>[9]GECON!$F$7</f>
        <v>14</v>
      </c>
      <c r="C25" s="29">
        <f>[7]GECON!$F$7</f>
        <v>14</v>
      </c>
      <c r="D25" s="29">
        <f>[8]GECON!$F$7</f>
        <v>14</v>
      </c>
      <c r="E25" s="29"/>
      <c r="F25" s="29"/>
      <c r="G25" s="29"/>
      <c r="H25" s="29"/>
      <c r="I25" s="29"/>
      <c r="J25" s="29"/>
      <c r="K25" s="29"/>
      <c r="L25" s="29"/>
      <c r="M25" s="29"/>
      <c r="N25" s="30">
        <f t="shared" si="12"/>
        <v>14</v>
      </c>
      <c r="P25" s="103"/>
    </row>
    <row r="26" spans="1:63" s="1" customFormat="1" ht="21.75" customHeight="1" x14ac:dyDescent="0.2">
      <c r="A26" s="6" t="s">
        <v>30</v>
      </c>
      <c r="B26" s="42">
        <f>[6]GECON!$G$7</f>
        <v>2</v>
      </c>
      <c r="C26" s="43">
        <f>[7]GECON!$G$7</f>
        <v>2</v>
      </c>
      <c r="D26" s="43">
        <f>[8]GECON!$G$7</f>
        <v>2</v>
      </c>
      <c r="E26" s="43"/>
      <c r="F26" s="43"/>
      <c r="G26" s="43"/>
      <c r="H26" s="43"/>
      <c r="I26" s="43"/>
      <c r="J26" s="43"/>
      <c r="K26" s="43"/>
      <c r="L26" s="43"/>
      <c r="M26" s="43"/>
      <c r="N26" s="30">
        <f t="shared" si="12"/>
        <v>2</v>
      </c>
    </row>
    <row r="27" spans="1:63" s="1" customFormat="1" ht="21.75" customHeight="1" x14ac:dyDescent="0.2">
      <c r="A27" s="6" t="s">
        <v>21</v>
      </c>
      <c r="B27" s="28">
        <f>[6]GECON!$D$6</f>
        <v>1</v>
      </c>
      <c r="C27" s="29">
        <f>[7]GECON!$F$6</f>
        <v>1</v>
      </c>
      <c r="D27" s="29">
        <f>[8]GECON!$F$6</f>
        <v>2</v>
      </c>
      <c r="E27" s="29"/>
      <c r="F27" s="29"/>
      <c r="G27" s="29"/>
      <c r="H27" s="29"/>
      <c r="I27" s="29"/>
      <c r="J27" s="29"/>
      <c r="K27" s="29"/>
      <c r="L27" s="29"/>
      <c r="M27" s="29"/>
      <c r="N27" s="31">
        <f t="shared" si="12"/>
        <v>1.3333333333333333</v>
      </c>
    </row>
    <row r="28" spans="1:63" s="1" customFormat="1" ht="21.75" customHeight="1" x14ac:dyDescent="0.2">
      <c r="A28" s="6" t="s">
        <v>30</v>
      </c>
      <c r="B28" s="42">
        <f>[6]GECON!$G$6</f>
        <v>2</v>
      </c>
      <c r="C28" s="43">
        <f>[7]GECON!$G$6</f>
        <v>2</v>
      </c>
      <c r="D28" s="43">
        <f>[8]GECON!$G$7</f>
        <v>2</v>
      </c>
      <c r="E28" s="43"/>
      <c r="F28" s="43"/>
      <c r="G28" s="43"/>
      <c r="H28" s="43"/>
      <c r="I28" s="43"/>
      <c r="J28" s="43"/>
      <c r="K28" s="43"/>
      <c r="L28" s="43"/>
      <c r="M28" s="43"/>
      <c r="N28" s="31">
        <f t="shared" si="12"/>
        <v>2</v>
      </c>
    </row>
    <row r="29" spans="1:63" s="1" customFormat="1" ht="21.75" customHeight="1" x14ac:dyDescent="0.2">
      <c r="A29" s="6" t="s">
        <v>85</v>
      </c>
      <c r="B29" s="28">
        <f>[6]GECON!$C$9</f>
        <v>9</v>
      </c>
      <c r="C29" s="29">
        <f>[7]GECON!$F$9</f>
        <v>9</v>
      </c>
      <c r="D29" s="29">
        <f>[8]GECON!$F$9</f>
        <v>9</v>
      </c>
      <c r="E29" s="29"/>
      <c r="F29" s="29"/>
      <c r="G29" s="29"/>
      <c r="H29" s="29"/>
      <c r="I29" s="29"/>
      <c r="J29" s="29"/>
      <c r="K29" s="29"/>
      <c r="L29" s="29"/>
      <c r="M29" s="29"/>
      <c r="N29" s="30">
        <f t="shared" si="12"/>
        <v>9</v>
      </c>
    </row>
    <row r="30" spans="1:63" s="1" customFormat="1" ht="21.75" customHeight="1" x14ac:dyDescent="0.2">
      <c r="A30" s="6" t="s">
        <v>30</v>
      </c>
      <c r="B30" s="42">
        <f>[6]GECON!$G$9</f>
        <v>5.5555555555555554</v>
      </c>
      <c r="C30" s="43">
        <f>[7]GECON!$G$9</f>
        <v>5.5555555555555554</v>
      </c>
      <c r="D30" s="43">
        <f>[8]GECON!$G$9</f>
        <v>5.5555555555555554</v>
      </c>
      <c r="E30" s="43"/>
      <c r="F30" s="43"/>
      <c r="G30" s="43"/>
      <c r="H30" s="43"/>
      <c r="I30" s="43"/>
      <c r="J30" s="43"/>
      <c r="K30" s="43"/>
      <c r="L30" s="43"/>
      <c r="M30" s="43"/>
      <c r="N30" s="31">
        <f t="shared" si="12"/>
        <v>5.5555555555555545</v>
      </c>
    </row>
    <row r="31" spans="1:63" s="1" customFormat="1" ht="21.75" customHeight="1" x14ac:dyDescent="0.2">
      <c r="A31" s="76" t="s">
        <v>22</v>
      </c>
      <c r="B31" s="86">
        <f t="shared" ref="B31:M31" si="13">SUM(B32:B41)</f>
        <v>6350827</v>
      </c>
      <c r="C31" s="87">
        <f t="shared" si="13"/>
        <v>6690682</v>
      </c>
      <c r="D31" s="87">
        <f t="shared" si="13"/>
        <v>6714968</v>
      </c>
      <c r="E31" s="87">
        <f t="shared" si="13"/>
        <v>0</v>
      </c>
      <c r="F31" s="87">
        <f t="shared" si="13"/>
        <v>0</v>
      </c>
      <c r="G31" s="87">
        <f t="shared" si="13"/>
        <v>0</v>
      </c>
      <c r="H31" s="87">
        <f t="shared" si="13"/>
        <v>0</v>
      </c>
      <c r="I31" s="87">
        <f t="shared" si="13"/>
        <v>0</v>
      </c>
      <c r="J31" s="87">
        <f t="shared" si="13"/>
        <v>0</v>
      </c>
      <c r="K31" s="87">
        <f t="shared" si="13"/>
        <v>0</v>
      </c>
      <c r="L31" s="87">
        <f t="shared" si="13"/>
        <v>0</v>
      </c>
      <c r="M31" s="87">
        <f t="shared" si="13"/>
        <v>0</v>
      </c>
      <c r="N31" s="88">
        <f t="shared" ref="N31:N40" si="14">SUM(B31:M31)</f>
        <v>19756477</v>
      </c>
    </row>
    <row r="32" spans="1:63" s="1" customFormat="1" ht="21.75" customHeight="1" x14ac:dyDescent="0.2">
      <c r="A32" s="6" t="s">
        <v>32</v>
      </c>
      <c r="B32" s="34">
        <f>1219105+1960587</f>
        <v>3179692</v>
      </c>
      <c r="C32" s="35">
        <f>'[1]2025'!$C$30</f>
        <v>3158279</v>
      </c>
      <c r="D32" s="35">
        <f>'[1]2025'!$D$30</f>
        <v>3166830</v>
      </c>
      <c r="E32" s="35"/>
      <c r="F32" s="35"/>
      <c r="G32" s="35"/>
      <c r="H32" s="35"/>
      <c r="I32" s="35"/>
      <c r="J32" s="35"/>
      <c r="K32" s="35"/>
      <c r="L32" s="35"/>
      <c r="M32" s="35"/>
      <c r="N32" s="30">
        <f t="shared" si="14"/>
        <v>9504801</v>
      </c>
    </row>
    <row r="33" spans="1:14" s="1" customFormat="1" ht="21.75" customHeight="1" x14ac:dyDescent="0.2">
      <c r="A33" s="9" t="s">
        <v>34</v>
      </c>
      <c r="B33" s="36">
        <f>1959890+519481</f>
        <v>2479371</v>
      </c>
      <c r="C33" s="37">
        <f>'[1]2025'!$C$37</f>
        <v>2614168</v>
      </c>
      <c r="D33" s="37">
        <f>'[1]2025'!$D$37</f>
        <v>2471589</v>
      </c>
      <c r="E33" s="37"/>
      <c r="F33" s="37"/>
      <c r="G33" s="37"/>
      <c r="H33" s="37"/>
      <c r="I33" s="37"/>
      <c r="J33" s="37"/>
      <c r="K33" s="37"/>
      <c r="L33" s="37"/>
      <c r="M33" s="37"/>
      <c r="N33" s="38">
        <f>SUM(B33:M33)</f>
        <v>7565128</v>
      </c>
    </row>
    <row r="34" spans="1:14" s="1" customFormat="1" ht="21.75" customHeight="1" x14ac:dyDescent="0.2">
      <c r="A34" s="9" t="s">
        <v>25</v>
      </c>
      <c r="B34" s="36">
        <v>490773</v>
      </c>
      <c r="C34" s="37">
        <f>'[1]2025'!$C$38</f>
        <v>500563</v>
      </c>
      <c r="D34" s="37">
        <f>'[1]2025'!$D$38</f>
        <v>510083</v>
      </c>
      <c r="E34" s="37"/>
      <c r="F34" s="37"/>
      <c r="G34" s="37"/>
      <c r="H34" s="37"/>
      <c r="I34" s="37"/>
      <c r="J34" s="37"/>
      <c r="K34" s="37"/>
      <c r="L34" s="37"/>
      <c r="M34" s="37"/>
      <c r="N34" s="38">
        <f>SUM(B34:M34)</f>
        <v>1501419</v>
      </c>
    </row>
    <row r="35" spans="1:14" s="1" customFormat="1" ht="21.75" customHeight="1" x14ac:dyDescent="0.2">
      <c r="A35" s="6" t="s">
        <v>23</v>
      </c>
      <c r="B35" s="34">
        <f>'[1]2025'!$B$33</f>
        <v>72902</v>
      </c>
      <c r="C35" s="35">
        <f>'[1]2025'!$C$33</f>
        <v>167013</v>
      </c>
      <c r="D35" s="35">
        <f>'[1]2025'!$D$33</f>
        <v>232944</v>
      </c>
      <c r="E35" s="35"/>
      <c r="F35" s="35"/>
      <c r="G35" s="35"/>
      <c r="H35" s="35"/>
      <c r="I35" s="35"/>
      <c r="J35" s="35"/>
      <c r="K35" s="35"/>
      <c r="L35" s="35"/>
      <c r="M35" s="35"/>
      <c r="N35" s="30">
        <f t="shared" si="14"/>
        <v>472859</v>
      </c>
    </row>
    <row r="36" spans="1:14" s="1" customFormat="1" ht="21.75" customHeight="1" x14ac:dyDescent="0.2">
      <c r="A36" s="9" t="s">
        <v>33</v>
      </c>
      <c r="B36" s="34">
        <f>'[1]2025'!$B$34</f>
        <v>2794</v>
      </c>
      <c r="C36" s="35">
        <f>'[1]2025'!$C$34</f>
        <v>109189</v>
      </c>
      <c r="D36" s="35">
        <f>'[1]2025'!$D$34</f>
        <v>192637</v>
      </c>
      <c r="E36" s="35"/>
      <c r="F36" s="35"/>
      <c r="G36" s="35"/>
      <c r="H36" s="35"/>
      <c r="I36" s="35"/>
      <c r="J36" s="35"/>
      <c r="K36" s="35"/>
      <c r="L36" s="35"/>
      <c r="M36" s="35"/>
      <c r="N36" s="30">
        <f t="shared" si="14"/>
        <v>304620</v>
      </c>
    </row>
    <row r="37" spans="1:14" s="1" customFormat="1" ht="21.75" customHeight="1" x14ac:dyDescent="0.2">
      <c r="A37" s="9" t="s">
        <v>29</v>
      </c>
      <c r="B37" s="36">
        <v>88552</v>
      </c>
      <c r="C37" s="37">
        <f>'[1]2025'!$C$35</f>
        <v>100454</v>
      </c>
      <c r="D37" s="37">
        <f>'[1]2025'!$D$35</f>
        <v>99963</v>
      </c>
      <c r="E37" s="37"/>
      <c r="F37" s="37"/>
      <c r="G37" s="37"/>
      <c r="H37" s="37"/>
      <c r="I37" s="37"/>
      <c r="J37" s="37"/>
      <c r="K37" s="37"/>
      <c r="L37" s="37"/>
      <c r="M37" s="37"/>
      <c r="N37" s="38">
        <f t="shared" si="14"/>
        <v>288969</v>
      </c>
    </row>
    <row r="38" spans="1:14" s="1" customFormat="1" ht="21.75" customHeight="1" x14ac:dyDescent="0.2">
      <c r="A38" s="6" t="s">
        <v>26</v>
      </c>
      <c r="B38" s="34">
        <v>35868</v>
      </c>
      <c r="C38" s="35">
        <f>'[1]2025'!$C$40</f>
        <v>40263</v>
      </c>
      <c r="D38" s="35">
        <f>'[1]2025'!$D$40</f>
        <v>40306</v>
      </c>
      <c r="E38" s="35"/>
      <c r="F38" s="35"/>
      <c r="G38" s="35"/>
      <c r="H38" s="35"/>
      <c r="I38" s="35"/>
      <c r="J38" s="35"/>
      <c r="K38" s="35"/>
      <c r="L38" s="35"/>
      <c r="M38" s="35"/>
      <c r="N38" s="30">
        <f>SUM(B38:M38)</f>
        <v>116437</v>
      </c>
    </row>
    <row r="39" spans="1:14" s="1" customFormat="1" ht="21.75" customHeight="1" x14ac:dyDescent="0.2">
      <c r="A39" s="55" t="s">
        <v>27</v>
      </c>
      <c r="B39" s="56">
        <v>875</v>
      </c>
      <c r="C39" s="57">
        <f>'[1]2025'!$C$39</f>
        <v>748</v>
      </c>
      <c r="D39" s="57">
        <f>'[1]2025'!$D$39</f>
        <v>605</v>
      </c>
      <c r="E39" s="57"/>
      <c r="F39" s="57"/>
      <c r="G39" s="57"/>
      <c r="H39" s="57"/>
      <c r="I39" s="57"/>
      <c r="J39" s="57"/>
      <c r="K39" s="57"/>
      <c r="L39" s="57"/>
      <c r="M39" s="57"/>
      <c r="N39" s="58">
        <f>SUM(B39:M39)</f>
        <v>2228</v>
      </c>
    </row>
    <row r="40" spans="1:14" s="1" customFormat="1" ht="21.75" customHeight="1" thickBot="1" x14ac:dyDescent="0.25">
      <c r="A40" s="11" t="s">
        <v>24</v>
      </c>
      <c r="B40" s="39">
        <v>0</v>
      </c>
      <c r="C40" s="40">
        <f>'[1]2025'!$C$36</f>
        <v>5</v>
      </c>
      <c r="D40" s="40">
        <f>'[1]2025'!$D$36</f>
        <v>11</v>
      </c>
      <c r="E40" s="40"/>
      <c r="F40" s="40"/>
      <c r="G40" s="40"/>
      <c r="H40" s="40"/>
      <c r="I40" s="40"/>
      <c r="J40" s="40"/>
      <c r="K40" s="40"/>
      <c r="L40" s="40"/>
      <c r="M40" s="40"/>
      <c r="N40" s="41">
        <f t="shared" si="14"/>
        <v>16</v>
      </c>
    </row>
    <row r="41" spans="1:14" s="1" customFormat="1" ht="21.75" customHeight="1" x14ac:dyDescent="0.2"/>
    <row r="42" spans="1:14" ht="21.75" customHeight="1" x14ac:dyDescent="0.25"/>
    <row r="43" spans="1:14" ht="21.75" customHeight="1" x14ac:dyDescent="0.25">
      <c r="N43" s="12"/>
    </row>
    <row r="44" spans="1:14" ht="21.75" customHeight="1" thickBot="1" x14ac:dyDescent="0.3">
      <c r="A44" s="104" t="s">
        <v>31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54" t="str">
        <f>N2</f>
        <v>Ano:2025</v>
      </c>
    </row>
    <row r="45" spans="1:14" ht="21.75" customHeight="1" thickBot="1" x14ac:dyDescent="0.3">
      <c r="A45" s="13" t="s">
        <v>0</v>
      </c>
      <c r="B45" s="14" t="s">
        <v>1</v>
      </c>
      <c r="C45" s="15" t="s">
        <v>2</v>
      </c>
      <c r="D45" s="15" t="s">
        <v>3</v>
      </c>
      <c r="E45" s="15" t="s">
        <v>4</v>
      </c>
      <c r="F45" s="15" t="s">
        <v>5</v>
      </c>
      <c r="G45" s="15" t="s">
        <v>6</v>
      </c>
      <c r="H45" s="15" t="s">
        <v>7</v>
      </c>
      <c r="I45" s="15" t="s">
        <v>8</v>
      </c>
      <c r="J45" s="15" t="s">
        <v>9</v>
      </c>
      <c r="K45" s="15" t="s">
        <v>10</v>
      </c>
      <c r="L45" s="15" t="s">
        <v>11</v>
      </c>
      <c r="M45" s="15" t="s">
        <v>12</v>
      </c>
      <c r="N45" s="5" t="s">
        <v>13</v>
      </c>
    </row>
    <row r="46" spans="1:14" ht="21.75" customHeight="1" x14ac:dyDescent="0.25">
      <c r="A46" s="89" t="str">
        <f t="shared" ref="A46:A82" si="15">A4</f>
        <v>Custo Por KM  (R$/km)</v>
      </c>
      <c r="B46" s="90">
        <f t="shared" ref="B46:N46" si="16">B47/B57</f>
        <v>9.7827295589704946</v>
      </c>
      <c r="C46" s="91">
        <f t="shared" si="16"/>
        <v>9.9125999724259923</v>
      </c>
      <c r="D46" s="91">
        <f t="shared" si="16"/>
        <v>9.9125999416477963</v>
      </c>
      <c r="E46" s="91" t="e">
        <f t="shared" si="16"/>
        <v>#DIV/0!</v>
      </c>
      <c r="F46" s="91" t="e">
        <f t="shared" si="16"/>
        <v>#DIV/0!</v>
      </c>
      <c r="G46" s="91" t="e">
        <f t="shared" si="16"/>
        <v>#DIV/0!</v>
      </c>
      <c r="H46" s="91" t="e">
        <f t="shared" si="16"/>
        <v>#DIV/0!</v>
      </c>
      <c r="I46" s="91" t="e">
        <f t="shared" si="16"/>
        <v>#DIV/0!</v>
      </c>
      <c r="J46" s="91" t="e">
        <f t="shared" si="16"/>
        <v>#DIV/0!</v>
      </c>
      <c r="K46" s="91" t="e">
        <f t="shared" si="16"/>
        <v>#DIV/0!</v>
      </c>
      <c r="L46" s="91" t="e">
        <f t="shared" si="16"/>
        <v>#DIV/0!</v>
      </c>
      <c r="M46" s="91" t="e">
        <f t="shared" si="16"/>
        <v>#DIV/0!</v>
      </c>
      <c r="N46" s="92">
        <f t="shared" si="16"/>
        <v>9.8688108939814345</v>
      </c>
    </row>
    <row r="47" spans="1:14" ht="21.75" customHeight="1" x14ac:dyDescent="0.25">
      <c r="A47" s="6" t="str">
        <f t="shared" si="15"/>
        <v>(1) Custo Total   (R$)</v>
      </c>
      <c r="B47" s="42">
        <v>46863843.219999999</v>
      </c>
      <c r="C47" s="42">
        <f>'[1]2025'!$C$45</f>
        <v>45469106.68</v>
      </c>
      <c r="D47" s="42">
        <f>'[1]2025'!$D$45</f>
        <v>47879701.659999996</v>
      </c>
      <c r="E47" s="42"/>
      <c r="F47" s="42"/>
      <c r="G47" s="42"/>
      <c r="H47" s="42"/>
      <c r="I47" s="42"/>
      <c r="J47" s="42"/>
      <c r="K47" s="42"/>
      <c r="L47" s="42"/>
      <c r="M47" s="42"/>
      <c r="N47" s="23">
        <f t="shared" ref="N47:N54" si="17">SUM(B47:M47)</f>
        <v>140212651.56</v>
      </c>
    </row>
    <row r="48" spans="1:14" ht="21.75" customHeight="1" x14ac:dyDescent="0.25">
      <c r="A48" s="6" t="str">
        <f t="shared" si="15"/>
        <v>Receita Arrecadada Efetiva (R$)</v>
      </c>
      <c r="B48" s="42">
        <v>30969551.239999998</v>
      </c>
      <c r="C48" s="42">
        <f>[2]RECUST!$K$7</f>
        <v>32452846.82</v>
      </c>
      <c r="D48" s="42">
        <f>[3]RECUST!$K$7</f>
        <v>31919651.59</v>
      </c>
      <c r="E48" s="42"/>
      <c r="F48" s="42"/>
      <c r="G48" s="42"/>
      <c r="H48" s="42"/>
      <c r="I48" s="42"/>
      <c r="J48" s="42"/>
      <c r="K48" s="42"/>
      <c r="L48" s="42"/>
      <c r="M48" s="42"/>
      <c r="N48" s="23">
        <f t="shared" si="17"/>
        <v>95342049.650000006</v>
      </c>
    </row>
    <row r="49" spans="1:16" ht="21.75" customHeight="1" x14ac:dyDescent="0.25">
      <c r="A49" s="76" t="str">
        <f t="shared" si="15"/>
        <v>Gerenciamento CETURB (5% da receita) (R$)</v>
      </c>
      <c r="B49" s="102">
        <f>B48*0.05</f>
        <v>1548477.5619999999</v>
      </c>
      <c r="C49" s="102">
        <f t="shared" ref="C49:M49" si="18">C48*0.05</f>
        <v>1622642.341</v>
      </c>
      <c r="D49" s="102">
        <f t="shared" si="18"/>
        <v>1595982.5795</v>
      </c>
      <c r="E49" s="102">
        <f t="shared" si="18"/>
        <v>0</v>
      </c>
      <c r="F49" s="102">
        <f t="shared" si="18"/>
        <v>0</v>
      </c>
      <c r="G49" s="102">
        <f t="shared" si="18"/>
        <v>0</v>
      </c>
      <c r="H49" s="102">
        <f t="shared" si="18"/>
        <v>0</v>
      </c>
      <c r="I49" s="102">
        <f t="shared" si="18"/>
        <v>0</v>
      </c>
      <c r="J49" s="102">
        <f t="shared" si="18"/>
        <v>0</v>
      </c>
      <c r="K49" s="102">
        <f t="shared" si="18"/>
        <v>0</v>
      </c>
      <c r="L49" s="102">
        <f t="shared" si="18"/>
        <v>0</v>
      </c>
      <c r="M49" s="102">
        <f t="shared" si="18"/>
        <v>0</v>
      </c>
      <c r="N49" s="85">
        <f t="shared" si="17"/>
        <v>4767102.4824999999</v>
      </c>
    </row>
    <row r="50" spans="1:16" ht="21.75" customHeight="1" x14ac:dyDescent="0.25">
      <c r="A50" s="76" t="str">
        <f t="shared" si="15"/>
        <v>(2) Receita Efetiva Líquida(R$)</v>
      </c>
      <c r="B50" s="102">
        <f>B48-B49</f>
        <v>29421073.677999999</v>
      </c>
      <c r="C50" s="102">
        <f t="shared" ref="C50:M50" si="19">C48-C49</f>
        <v>30830204.479000002</v>
      </c>
      <c r="D50" s="102">
        <f t="shared" si="19"/>
        <v>30323669.010499999</v>
      </c>
      <c r="E50" s="102">
        <f t="shared" si="19"/>
        <v>0</v>
      </c>
      <c r="F50" s="102">
        <f t="shared" si="19"/>
        <v>0</v>
      </c>
      <c r="G50" s="102">
        <f t="shared" si="19"/>
        <v>0</v>
      </c>
      <c r="H50" s="102">
        <f t="shared" si="19"/>
        <v>0</v>
      </c>
      <c r="I50" s="102">
        <f t="shared" si="19"/>
        <v>0</v>
      </c>
      <c r="J50" s="102">
        <f t="shared" si="19"/>
        <v>0</v>
      </c>
      <c r="K50" s="102">
        <f t="shared" si="19"/>
        <v>0</v>
      </c>
      <c r="L50" s="102">
        <f t="shared" si="19"/>
        <v>0</v>
      </c>
      <c r="M50" s="102">
        <f t="shared" si="19"/>
        <v>0</v>
      </c>
      <c r="N50" s="85">
        <f t="shared" si="17"/>
        <v>90574947.167500004</v>
      </c>
    </row>
    <row r="51" spans="1:16" ht="21.75" customHeight="1" x14ac:dyDescent="0.25">
      <c r="A51" s="76" t="str">
        <f t="shared" si="15"/>
        <v>(3) % Evasão da receita (2,64%) (R$)</v>
      </c>
      <c r="B51" s="102">
        <f>B50*0.0264</f>
        <v>776716.34509920003</v>
      </c>
      <c r="C51" s="102">
        <f t="shared" ref="C51:M51" si="20">C50*0.0264</f>
        <v>813917.39824560005</v>
      </c>
      <c r="D51" s="102">
        <f t="shared" si="20"/>
        <v>800544.86187719996</v>
      </c>
      <c r="E51" s="102">
        <f t="shared" si="20"/>
        <v>0</v>
      </c>
      <c r="F51" s="102">
        <f t="shared" si="20"/>
        <v>0</v>
      </c>
      <c r="G51" s="102">
        <f t="shared" si="20"/>
        <v>0</v>
      </c>
      <c r="H51" s="102">
        <f t="shared" si="20"/>
        <v>0</v>
      </c>
      <c r="I51" s="102">
        <f t="shared" si="20"/>
        <v>0</v>
      </c>
      <c r="J51" s="102">
        <f t="shared" si="20"/>
        <v>0</v>
      </c>
      <c r="K51" s="102">
        <f t="shared" si="20"/>
        <v>0</v>
      </c>
      <c r="L51" s="102">
        <f t="shared" si="20"/>
        <v>0</v>
      </c>
      <c r="M51" s="102">
        <f t="shared" si="20"/>
        <v>0</v>
      </c>
      <c r="N51" s="85">
        <f t="shared" si="17"/>
        <v>2391178.6052219998</v>
      </c>
    </row>
    <row r="52" spans="1:16" ht="21.75" customHeight="1" x14ac:dyDescent="0.25">
      <c r="A52" s="6" t="str">
        <f t="shared" si="15"/>
        <v>(4) Receitas Acessórias (R$)</v>
      </c>
      <c r="B52" s="42">
        <v>237392.96</v>
      </c>
      <c r="C52" s="42">
        <f>'[4]SUBSÍDIO JANEIRO 2025'!$C$9</f>
        <v>236197.04268170134</v>
      </c>
      <c r="D52" s="42">
        <f>'[5]SUBSÍDIO JANEIRO 2025'!$C$9</f>
        <v>235681.02670149534</v>
      </c>
      <c r="E52" s="42"/>
      <c r="F52" s="42"/>
      <c r="G52" s="42"/>
      <c r="H52" s="42"/>
      <c r="I52" s="42"/>
      <c r="J52" s="42"/>
      <c r="K52" s="42"/>
      <c r="L52" s="42"/>
      <c r="M52" s="42"/>
      <c r="N52" s="23">
        <f t="shared" si="17"/>
        <v>709271.02938319673</v>
      </c>
    </row>
    <row r="53" spans="1:16" ht="21.75" customHeight="1" x14ac:dyDescent="0.25">
      <c r="A53" s="76" t="str">
        <f t="shared" si="15"/>
        <v>Subsídio Tarifário = (1)-(2)-(3)-(4) (R$)</v>
      </c>
      <c r="B53" s="102">
        <f>B47-B50-B51-B52</f>
        <v>16428660.236900799</v>
      </c>
      <c r="C53" s="102">
        <f t="shared" ref="C53:M53" si="21">C47-C50-C51-C52</f>
        <v>13588787.760072697</v>
      </c>
      <c r="D53" s="102">
        <f t="shared" si="21"/>
        <v>16519806.760921303</v>
      </c>
      <c r="E53" s="102">
        <f t="shared" si="21"/>
        <v>0</v>
      </c>
      <c r="F53" s="102">
        <f t="shared" si="21"/>
        <v>0</v>
      </c>
      <c r="G53" s="102">
        <f t="shared" si="21"/>
        <v>0</v>
      </c>
      <c r="H53" s="102">
        <f t="shared" si="21"/>
        <v>0</v>
      </c>
      <c r="I53" s="102">
        <f t="shared" si="21"/>
        <v>0</v>
      </c>
      <c r="J53" s="102">
        <f t="shared" si="21"/>
        <v>0</v>
      </c>
      <c r="K53" s="102">
        <f t="shared" si="21"/>
        <v>0</v>
      </c>
      <c r="L53" s="102">
        <f t="shared" si="21"/>
        <v>0</v>
      </c>
      <c r="M53" s="102">
        <f t="shared" si="21"/>
        <v>0</v>
      </c>
      <c r="N53" s="85">
        <f t="shared" si="17"/>
        <v>46537254.757894799</v>
      </c>
      <c r="P53" s="62"/>
    </row>
    <row r="54" spans="1:16" ht="21.75" customHeight="1" x14ac:dyDescent="0.25">
      <c r="A54" s="76" t="str">
        <f t="shared" si="15"/>
        <v>Gerenciamento CETURB (5% do subsídio) (R$)</v>
      </c>
      <c r="B54" s="102">
        <f>B53*0.05</f>
        <v>821433.01184504002</v>
      </c>
      <c r="C54" s="102">
        <f t="shared" ref="C54:M54" si="22">C53*0.05</f>
        <v>679439.38800363487</v>
      </c>
      <c r="D54" s="102">
        <f t="shared" si="22"/>
        <v>825990.33804606518</v>
      </c>
      <c r="E54" s="102">
        <f t="shared" si="22"/>
        <v>0</v>
      </c>
      <c r="F54" s="102">
        <f t="shared" si="22"/>
        <v>0</v>
      </c>
      <c r="G54" s="102">
        <f t="shared" si="22"/>
        <v>0</v>
      </c>
      <c r="H54" s="102">
        <f t="shared" si="22"/>
        <v>0</v>
      </c>
      <c r="I54" s="102">
        <f t="shared" si="22"/>
        <v>0</v>
      </c>
      <c r="J54" s="102">
        <f t="shared" si="22"/>
        <v>0</v>
      </c>
      <c r="K54" s="102">
        <f t="shared" si="22"/>
        <v>0</v>
      </c>
      <c r="L54" s="102">
        <f t="shared" si="22"/>
        <v>0</v>
      </c>
      <c r="M54" s="102">
        <f t="shared" si="22"/>
        <v>0</v>
      </c>
      <c r="N54" s="85">
        <f t="shared" si="17"/>
        <v>2326862.73789474</v>
      </c>
      <c r="P54" s="62"/>
    </row>
    <row r="55" spans="1:16" ht="21.75" customHeight="1" x14ac:dyDescent="0.25">
      <c r="A55" s="76" t="str">
        <f t="shared" si="15"/>
        <v>IPK - Índice de passageiro por km</v>
      </c>
      <c r="B55" s="77">
        <f t="shared" ref="B55:N55" si="23">B73/B57</f>
        <v>1.4313604468387728</v>
      </c>
      <c r="C55" s="77">
        <f t="shared" si="23"/>
        <v>1.573710337067787</v>
      </c>
      <c r="D55" s="77">
        <f t="shared" si="23"/>
        <v>1.494277853920003</v>
      </c>
      <c r="E55" s="77" t="e">
        <f t="shared" si="23"/>
        <v>#DIV/0!</v>
      </c>
      <c r="F55" s="77" t="e">
        <f t="shared" si="23"/>
        <v>#DIV/0!</v>
      </c>
      <c r="G55" s="77" t="e">
        <f t="shared" si="23"/>
        <v>#DIV/0!</v>
      </c>
      <c r="H55" s="77" t="e">
        <f t="shared" si="23"/>
        <v>#DIV/0!</v>
      </c>
      <c r="I55" s="77" t="e">
        <f t="shared" si="23"/>
        <v>#DIV/0!</v>
      </c>
      <c r="J55" s="77" t="e">
        <f t="shared" si="23"/>
        <v>#DIV/0!</v>
      </c>
      <c r="K55" s="77" t="e">
        <f t="shared" si="23"/>
        <v>#DIV/0!</v>
      </c>
      <c r="L55" s="77" t="e">
        <f t="shared" si="23"/>
        <v>#DIV/0!</v>
      </c>
      <c r="M55" s="77" t="e">
        <f t="shared" si="23"/>
        <v>#DIV/0!</v>
      </c>
      <c r="N55" s="79">
        <f t="shared" si="23"/>
        <v>1.4987087840208611</v>
      </c>
    </row>
    <row r="56" spans="1:16" ht="21.75" customHeight="1" x14ac:dyDescent="0.25">
      <c r="A56" s="76" t="str">
        <f t="shared" si="15"/>
        <v>Passageiro por Viagem</v>
      </c>
      <c r="B56" s="80">
        <f t="shared" ref="B56:N56" si="24">B73/B58</f>
        <v>44.790626275822653</v>
      </c>
      <c r="C56" s="80">
        <f t="shared" si="24"/>
        <v>49.268246238478262</v>
      </c>
      <c r="D56" s="80">
        <f t="shared" si="24"/>
        <v>46.850907627445956</v>
      </c>
      <c r="E56" s="80" t="e">
        <f t="shared" si="24"/>
        <v>#DIV/0!</v>
      </c>
      <c r="F56" s="80" t="e">
        <f t="shared" si="24"/>
        <v>#DIV/0!</v>
      </c>
      <c r="G56" s="80" t="e">
        <f t="shared" si="24"/>
        <v>#DIV/0!</v>
      </c>
      <c r="H56" s="80" t="e">
        <f t="shared" si="24"/>
        <v>#DIV/0!</v>
      </c>
      <c r="I56" s="80" t="e">
        <f t="shared" si="24"/>
        <v>#DIV/0!</v>
      </c>
      <c r="J56" s="80" t="e">
        <f t="shared" si="24"/>
        <v>#DIV/0!</v>
      </c>
      <c r="K56" s="80" t="e">
        <f t="shared" si="24"/>
        <v>#DIV/0!</v>
      </c>
      <c r="L56" s="80" t="e">
        <f t="shared" si="24"/>
        <v>#DIV/0!</v>
      </c>
      <c r="M56" s="80" t="e">
        <f t="shared" si="24"/>
        <v>#DIV/0!</v>
      </c>
      <c r="N56" s="82">
        <f t="shared" si="24"/>
        <v>46.936382903918023</v>
      </c>
    </row>
    <row r="57" spans="1:16" ht="21.75" customHeight="1" x14ac:dyDescent="0.25">
      <c r="A57" s="6" t="str">
        <f t="shared" si="15"/>
        <v>Km Remunerada</v>
      </c>
      <c r="B57" s="42">
        <f>4080.31+4786386.7</f>
        <v>4790467.01</v>
      </c>
      <c r="C57" s="42">
        <f>'[1]2025'!$C$54</f>
        <v>4587001.07</v>
      </c>
      <c r="D57" s="42">
        <f>'[1]2025'!$D$54</f>
        <v>4830186.0199999996</v>
      </c>
      <c r="E57" s="42"/>
      <c r="F57" s="42"/>
      <c r="G57" s="42"/>
      <c r="H57" s="42"/>
      <c r="I57" s="42"/>
      <c r="J57" s="42"/>
      <c r="K57" s="42"/>
      <c r="L57" s="42"/>
      <c r="M57" s="42"/>
      <c r="N57" s="23">
        <f>SUM(B57:M57)</f>
        <v>14207654.1</v>
      </c>
    </row>
    <row r="58" spans="1:16" ht="21.75" customHeight="1" x14ac:dyDescent="0.25">
      <c r="A58" s="6" t="str">
        <f t="shared" si="15"/>
        <v>Viagens Remuneradas</v>
      </c>
      <c r="B58" s="42">
        <f>171+152916.5</f>
        <v>153087.5</v>
      </c>
      <c r="C58" s="42">
        <f>'[1]2025'!$C$55</f>
        <v>146516.5</v>
      </c>
      <c r="D58" s="42">
        <f>'[1]2025'!$D$55</f>
        <v>154055.5</v>
      </c>
      <c r="E58" s="42"/>
      <c r="F58" s="42"/>
      <c r="G58" s="42"/>
      <c r="H58" s="42"/>
      <c r="I58" s="42"/>
      <c r="J58" s="42"/>
      <c r="K58" s="42"/>
      <c r="L58" s="42"/>
      <c r="M58" s="42"/>
      <c r="N58" s="23">
        <f>SUM(B58:M58)</f>
        <v>453659.5</v>
      </c>
    </row>
    <row r="59" spans="1:16" ht="21.75" customHeight="1" x14ac:dyDescent="0.25">
      <c r="A59" s="76" t="str">
        <f t="shared" si="15"/>
        <v>P.M.M - Percurso Médio Mensal</v>
      </c>
      <c r="B59" s="83">
        <f t="shared" ref="B59:M59" si="25">B57/B62</f>
        <v>5358.4642170022371</v>
      </c>
      <c r="C59" s="84">
        <f t="shared" si="25"/>
        <v>5130.8736800894858</v>
      </c>
      <c r="D59" s="84">
        <f t="shared" si="25"/>
        <v>5402.8926398210288</v>
      </c>
      <c r="E59" s="84" t="e">
        <f t="shared" si="25"/>
        <v>#DIV/0!</v>
      </c>
      <c r="F59" s="84" t="e">
        <f t="shared" si="25"/>
        <v>#DIV/0!</v>
      </c>
      <c r="G59" s="84" t="e">
        <f t="shared" si="25"/>
        <v>#DIV/0!</v>
      </c>
      <c r="H59" s="84" t="e">
        <f t="shared" si="25"/>
        <v>#DIV/0!</v>
      </c>
      <c r="I59" s="84" t="e">
        <f t="shared" si="25"/>
        <v>#DIV/0!</v>
      </c>
      <c r="J59" s="84" t="e">
        <f t="shared" si="25"/>
        <v>#DIV/0!</v>
      </c>
      <c r="K59" s="84" t="e">
        <f t="shared" si="25"/>
        <v>#DIV/0!</v>
      </c>
      <c r="L59" s="84" t="e">
        <f t="shared" si="25"/>
        <v>#DIV/0!</v>
      </c>
      <c r="M59" s="84" t="e">
        <f t="shared" si="25"/>
        <v>#DIV/0!</v>
      </c>
      <c r="N59" s="85" t="e">
        <f>AVERAGE(B59:M59)</f>
        <v>#DIV/0!</v>
      </c>
    </row>
    <row r="60" spans="1:16" ht="21.75" customHeight="1" x14ac:dyDescent="0.25">
      <c r="A60" s="76" t="str">
        <f t="shared" si="15"/>
        <v>Frota Total</v>
      </c>
      <c r="B60" s="93">
        <f t="shared" ref="B60:D60" si="26">B63+B65+B67+B69+B71</f>
        <v>981</v>
      </c>
      <c r="C60" s="93">
        <f t="shared" si="26"/>
        <v>981</v>
      </c>
      <c r="D60" s="93">
        <f t="shared" si="26"/>
        <v>980</v>
      </c>
      <c r="E60" s="93">
        <f t="shared" ref="E60:J60" si="27">E63+E65+E67+E69+E71</f>
        <v>0</v>
      </c>
      <c r="F60" s="93">
        <f t="shared" si="27"/>
        <v>0</v>
      </c>
      <c r="G60" s="93">
        <f t="shared" si="27"/>
        <v>0</v>
      </c>
      <c r="H60" s="93">
        <f t="shared" si="27"/>
        <v>0</v>
      </c>
      <c r="I60" s="93">
        <f t="shared" si="27"/>
        <v>0</v>
      </c>
      <c r="J60" s="93">
        <f t="shared" si="27"/>
        <v>0</v>
      </c>
      <c r="K60" s="93">
        <f>K63+K65+K67+K69+K71</f>
        <v>0</v>
      </c>
      <c r="L60" s="93">
        <f>L63+L65+L67+L69+L71</f>
        <v>0</v>
      </c>
      <c r="M60" s="93">
        <f>M63+M65+M67+M69+M71</f>
        <v>0</v>
      </c>
      <c r="N60" s="94">
        <f>AVERAGE(B60:M60)</f>
        <v>245.16666666666666</v>
      </c>
    </row>
    <row r="61" spans="1:16" ht="21.75" customHeight="1" x14ac:dyDescent="0.25">
      <c r="A61" s="6" t="str">
        <f t="shared" si="15"/>
        <v xml:space="preserve">Idade Média </v>
      </c>
      <c r="B61" s="42">
        <f>[6]GECON!$K$20</f>
        <v>7.2956777996070725</v>
      </c>
      <c r="C61" s="43">
        <f>[10]GECON!$K$20</f>
        <v>7.2886699507389165</v>
      </c>
      <c r="D61" s="43">
        <f>[8]GECON!$K$20</f>
        <v>7.2886699507389165</v>
      </c>
      <c r="E61" s="43"/>
      <c r="F61" s="43"/>
      <c r="G61" s="43"/>
      <c r="H61" s="43"/>
      <c r="I61" s="43"/>
      <c r="J61" s="43"/>
      <c r="K61" s="43"/>
      <c r="L61" s="43"/>
      <c r="M61" s="43"/>
      <c r="N61" s="23">
        <f>AVERAGE(B61:M61)</f>
        <v>7.2910059003616352</v>
      </c>
    </row>
    <row r="62" spans="1:16" ht="21.75" customHeight="1" x14ac:dyDescent="0.25">
      <c r="A62" s="8" t="str">
        <f t="shared" si="15"/>
        <v>Frota Operante</v>
      </c>
      <c r="B62" s="63">
        <f>[9]GECON!$C$20</f>
        <v>894</v>
      </c>
      <c r="C62" s="63">
        <f>[7]GECON!$C$20</f>
        <v>894</v>
      </c>
      <c r="D62" s="63">
        <f>[8]GECON!$C$20</f>
        <v>894</v>
      </c>
      <c r="E62" s="63"/>
      <c r="F62" s="63"/>
      <c r="G62" s="63"/>
      <c r="H62" s="63"/>
      <c r="I62" s="63"/>
      <c r="J62" s="63"/>
      <c r="K62" s="63"/>
      <c r="L62" s="63"/>
      <c r="M62" s="63"/>
      <c r="N62" s="26">
        <f t="shared" ref="N62:N72" si="28">AVERAGE(B62:M62)</f>
        <v>894</v>
      </c>
    </row>
    <row r="63" spans="1:16" ht="21.75" customHeight="1" x14ac:dyDescent="0.25">
      <c r="A63" s="6" t="str">
        <f t="shared" si="15"/>
        <v xml:space="preserve">Convencional   </v>
      </c>
      <c r="B63" s="63">
        <f>[9]GECON!$F$14</f>
        <v>901</v>
      </c>
      <c r="C63" s="63">
        <f>[7]GECON!$F$14</f>
        <v>901</v>
      </c>
      <c r="D63" s="63">
        <f>[8]GECON!$F$14</f>
        <v>901</v>
      </c>
      <c r="E63" s="63"/>
      <c r="F63" s="63"/>
      <c r="G63" s="63"/>
      <c r="H63" s="63"/>
      <c r="I63" s="63"/>
      <c r="J63" s="63"/>
      <c r="K63" s="63"/>
      <c r="L63" s="63"/>
      <c r="M63" s="63"/>
      <c r="N63" s="27">
        <f t="shared" si="28"/>
        <v>901</v>
      </c>
    </row>
    <row r="64" spans="1:16" ht="21.75" customHeight="1" x14ac:dyDescent="0.25">
      <c r="A64" s="6" t="str">
        <f t="shared" si="15"/>
        <v xml:space="preserve">Idade Média </v>
      </c>
      <c r="B64" s="64">
        <f>[6]GECON!$G$14</f>
        <v>7.0244173140954498</v>
      </c>
      <c r="C64" s="64">
        <f>[7]GECON!$G$14</f>
        <v>7.059933407325194</v>
      </c>
      <c r="D64" s="64">
        <f>[8]GECON!$G$14</f>
        <v>7.057713651498335</v>
      </c>
      <c r="E64" s="64"/>
      <c r="F64" s="64"/>
      <c r="G64" s="64"/>
      <c r="H64" s="64"/>
      <c r="I64" s="64"/>
      <c r="J64" s="64"/>
      <c r="K64" s="64"/>
      <c r="L64" s="64"/>
      <c r="M64" s="64"/>
      <c r="N64" s="23">
        <f t="shared" si="28"/>
        <v>7.0473547909729932</v>
      </c>
    </row>
    <row r="65" spans="1:16" ht="21.75" customHeight="1" x14ac:dyDescent="0.25">
      <c r="A65" s="6" t="str">
        <f t="shared" si="15"/>
        <v>Articulado</v>
      </c>
      <c r="B65" s="63">
        <f>[9]GECON!$F$17</f>
        <v>38</v>
      </c>
      <c r="C65" s="63">
        <f>[7]GECON!$F$17</f>
        <v>38</v>
      </c>
      <c r="D65" s="63">
        <f>[8]GECON!$F$17</f>
        <v>37</v>
      </c>
      <c r="E65" s="63"/>
      <c r="F65" s="63"/>
      <c r="G65" s="63"/>
      <c r="H65" s="63"/>
      <c r="I65" s="63"/>
      <c r="J65" s="63"/>
      <c r="K65" s="63"/>
      <c r="L65" s="63"/>
      <c r="M65" s="63"/>
      <c r="N65" s="30">
        <f t="shared" si="28"/>
        <v>37.666666666666664</v>
      </c>
    </row>
    <row r="66" spans="1:16" ht="21.75" customHeight="1" x14ac:dyDescent="0.25">
      <c r="A66" s="6" t="str">
        <f t="shared" si="15"/>
        <v xml:space="preserve">Idade Média </v>
      </c>
      <c r="B66" s="64">
        <f>[6]GECON!$G$17</f>
        <v>9.6842105263157894</v>
      </c>
      <c r="C66" s="64">
        <f>[10]GECON!$G$17</f>
        <v>9.6842105263157894</v>
      </c>
      <c r="D66" s="64">
        <f>[8]GECON!$G$17</f>
        <v>9.486486486486486</v>
      </c>
      <c r="E66" s="64"/>
      <c r="F66" s="64"/>
      <c r="G66" s="64"/>
      <c r="H66" s="64"/>
      <c r="I66" s="64"/>
      <c r="J66" s="64"/>
      <c r="K66" s="64"/>
      <c r="L66" s="64"/>
      <c r="M66" s="64"/>
      <c r="N66" s="23">
        <f t="shared" si="28"/>
        <v>9.6183025130393549</v>
      </c>
    </row>
    <row r="67" spans="1:16" ht="21.75" customHeight="1" x14ac:dyDescent="0.25">
      <c r="A67" s="6" t="str">
        <f t="shared" si="15"/>
        <v>Micro</v>
      </c>
      <c r="B67" s="63">
        <f>[9]GECON!$F$16</f>
        <v>25</v>
      </c>
      <c r="C67" s="63">
        <f>[7]GECON!$F$16</f>
        <v>25</v>
      </c>
      <c r="D67" s="63">
        <f>[8]GECON!$F$16</f>
        <v>25</v>
      </c>
      <c r="E67" s="63"/>
      <c r="F67" s="63"/>
      <c r="G67" s="63"/>
      <c r="H67" s="63"/>
      <c r="I67" s="63"/>
      <c r="J67" s="63"/>
      <c r="K67" s="63"/>
      <c r="L67" s="63"/>
      <c r="M67" s="63"/>
      <c r="N67" s="30">
        <f t="shared" si="28"/>
        <v>25</v>
      </c>
    </row>
    <row r="68" spans="1:16" ht="21.75" customHeight="1" x14ac:dyDescent="0.25">
      <c r="A68" s="6" t="str">
        <f t="shared" si="15"/>
        <v xml:space="preserve">Idade Média </v>
      </c>
      <c r="B68" s="64">
        <f>[6]GECON!$G$16</f>
        <v>6.36</v>
      </c>
      <c r="C68" s="64">
        <f>[10]GECON!$G$16</f>
        <v>6.36</v>
      </c>
      <c r="D68" s="64">
        <f>[8]GECON!$G$16</f>
        <v>6.36</v>
      </c>
      <c r="E68" s="64"/>
      <c r="F68" s="64"/>
      <c r="G68" s="64"/>
      <c r="H68" s="64"/>
      <c r="I68" s="64"/>
      <c r="J68" s="64"/>
      <c r="K68" s="64"/>
      <c r="L68" s="64"/>
      <c r="M68" s="64"/>
      <c r="N68" s="31">
        <f t="shared" si="28"/>
        <v>6.36</v>
      </c>
      <c r="O68" s="22"/>
      <c r="P68" s="22"/>
    </row>
    <row r="69" spans="1:16" ht="21.75" customHeight="1" x14ac:dyDescent="0.25">
      <c r="A69" s="6" t="str">
        <f t="shared" si="15"/>
        <v>Padron Elétrico</v>
      </c>
      <c r="B69" s="63">
        <f>[9]GECON!$F$15</f>
        <v>1</v>
      </c>
      <c r="C69" s="63">
        <f>[7]GECON!$F$15</f>
        <v>1</v>
      </c>
      <c r="D69" s="63">
        <f>[8]GECON!$F$15</f>
        <v>1</v>
      </c>
      <c r="E69" s="63"/>
      <c r="F69" s="63"/>
      <c r="G69" s="63"/>
      <c r="H69" s="63"/>
      <c r="I69" s="63"/>
      <c r="J69" s="63"/>
      <c r="K69" s="63"/>
      <c r="L69" s="63"/>
      <c r="M69" s="63"/>
      <c r="N69" s="30">
        <f t="shared" si="28"/>
        <v>1</v>
      </c>
    </row>
    <row r="70" spans="1:16" ht="21.75" customHeight="1" x14ac:dyDescent="0.25">
      <c r="A70" s="6" t="str">
        <f t="shared" si="15"/>
        <v xml:space="preserve">Idade Média </v>
      </c>
      <c r="B70" s="64">
        <f>[6]GECON!$G$15</f>
        <v>2</v>
      </c>
      <c r="C70" s="64">
        <f>[10]GECON!$G$15</f>
        <v>2</v>
      </c>
      <c r="D70" s="64">
        <f>[8]GECON!$G$15</f>
        <v>2</v>
      </c>
      <c r="E70" s="64"/>
      <c r="F70" s="64"/>
      <c r="G70" s="64"/>
      <c r="H70" s="64"/>
      <c r="I70" s="64"/>
      <c r="J70" s="64"/>
      <c r="K70" s="64"/>
      <c r="L70" s="64"/>
      <c r="M70" s="64"/>
      <c r="N70" s="31">
        <f t="shared" si="28"/>
        <v>2</v>
      </c>
    </row>
    <row r="71" spans="1:16" ht="21.75" customHeight="1" x14ac:dyDescent="0.25">
      <c r="A71" s="6" t="str">
        <f t="shared" si="15"/>
        <v>Micro Transcol +Acessível</v>
      </c>
      <c r="B71" s="63">
        <f>[9]GECON!$F$18</f>
        <v>16</v>
      </c>
      <c r="C71" s="63">
        <f>[7]GECON!$F$18</f>
        <v>16</v>
      </c>
      <c r="D71" s="63">
        <f>[8]GECON!$F$18</f>
        <v>16</v>
      </c>
      <c r="E71" s="63"/>
      <c r="F71" s="63"/>
      <c r="G71" s="63"/>
      <c r="H71" s="63"/>
      <c r="I71" s="63"/>
      <c r="J71" s="63"/>
      <c r="K71" s="63"/>
      <c r="L71" s="63"/>
      <c r="M71" s="63"/>
      <c r="N71" s="30">
        <f t="shared" si="28"/>
        <v>16</v>
      </c>
    </row>
    <row r="72" spans="1:16" ht="21.75" customHeight="1" x14ac:dyDescent="0.25">
      <c r="A72" s="6" t="str">
        <f t="shared" si="15"/>
        <v xml:space="preserve">Idade Média </v>
      </c>
      <c r="B72" s="64">
        <f>[6]GECON!$G$18</f>
        <v>4.5</v>
      </c>
      <c r="C72" s="64">
        <f>[10]GECON!$G$18</f>
        <v>4.5</v>
      </c>
      <c r="D72" s="64">
        <f>[8]GECON!$G$18</f>
        <v>4.5</v>
      </c>
      <c r="E72" s="64"/>
      <c r="F72" s="64"/>
      <c r="G72" s="64"/>
      <c r="H72" s="64"/>
      <c r="I72" s="64"/>
      <c r="J72" s="64"/>
      <c r="K72" s="64"/>
      <c r="L72" s="64"/>
      <c r="M72" s="64"/>
      <c r="N72" s="31">
        <f t="shared" si="28"/>
        <v>4.5</v>
      </c>
    </row>
    <row r="73" spans="1:16" ht="21.75" customHeight="1" x14ac:dyDescent="0.25">
      <c r="A73" s="76" t="str">
        <f t="shared" si="15"/>
        <v>Demanda Total</v>
      </c>
      <c r="B73" s="86">
        <f t="shared" ref="B73:M73" si="29">SUM(B74:B83)</f>
        <v>6856885</v>
      </c>
      <c r="C73" s="87">
        <f t="shared" si="29"/>
        <v>7218611</v>
      </c>
      <c r="D73" s="87">
        <f t="shared" si="29"/>
        <v>7217640</v>
      </c>
      <c r="E73" s="87">
        <f t="shared" si="29"/>
        <v>0</v>
      </c>
      <c r="F73" s="87">
        <f t="shared" si="29"/>
        <v>0</v>
      </c>
      <c r="G73" s="87">
        <f t="shared" si="29"/>
        <v>0</v>
      </c>
      <c r="H73" s="87">
        <f t="shared" si="29"/>
        <v>0</v>
      </c>
      <c r="I73" s="87">
        <f t="shared" si="29"/>
        <v>0</v>
      </c>
      <c r="J73" s="87">
        <f t="shared" si="29"/>
        <v>0</v>
      </c>
      <c r="K73" s="87">
        <f t="shared" si="29"/>
        <v>0</v>
      </c>
      <c r="L73" s="87">
        <f t="shared" si="29"/>
        <v>0</v>
      </c>
      <c r="M73" s="87">
        <f t="shared" si="29"/>
        <v>0</v>
      </c>
      <c r="N73" s="88">
        <f t="shared" ref="N73:N82" si="30">SUM(B73:M73)</f>
        <v>21293136</v>
      </c>
    </row>
    <row r="74" spans="1:16" ht="21.75" customHeight="1" x14ac:dyDescent="0.25">
      <c r="A74" s="6" t="str">
        <f t="shared" si="15"/>
        <v>Vale Transporte</v>
      </c>
      <c r="B74" s="34">
        <f>1290768+2078081</f>
        <v>3368849</v>
      </c>
      <c r="C74" s="35">
        <f>'[1]2025'!$C$70</f>
        <v>3335225</v>
      </c>
      <c r="D74" s="35">
        <f>'[1]2025'!$D$70</f>
        <v>3326869</v>
      </c>
      <c r="E74" s="35"/>
      <c r="F74" s="35"/>
      <c r="G74" s="35"/>
      <c r="H74" s="35"/>
      <c r="I74" s="35"/>
      <c r="J74" s="35"/>
      <c r="K74" s="35"/>
      <c r="L74" s="35"/>
      <c r="M74" s="35"/>
      <c r="N74" s="30">
        <f t="shared" si="30"/>
        <v>10030943</v>
      </c>
    </row>
    <row r="75" spans="1:16" ht="21.75" customHeight="1" x14ac:dyDescent="0.25">
      <c r="A75" s="9" t="str">
        <f t="shared" si="15"/>
        <v>Cartão Cidadão</v>
      </c>
      <c r="B75" s="36">
        <f>2027751+586414</f>
        <v>2614165</v>
      </c>
      <c r="C75" s="37">
        <f>'[1]2025'!$C$77</f>
        <v>2750443</v>
      </c>
      <c r="D75" s="37">
        <f>'[1]2025'!$D$77</f>
        <v>2594787</v>
      </c>
      <c r="E75" s="37"/>
      <c r="F75" s="37"/>
      <c r="G75" s="37"/>
      <c r="H75" s="37"/>
      <c r="I75" s="37"/>
      <c r="J75" s="37"/>
      <c r="K75" s="37"/>
      <c r="L75" s="37"/>
      <c r="M75" s="37"/>
      <c r="N75" s="38">
        <f>SUM(B75:M75)</f>
        <v>7959395</v>
      </c>
    </row>
    <row r="76" spans="1:16" ht="21.75" customHeight="1" x14ac:dyDescent="0.25">
      <c r="A76" s="9" t="str">
        <f t="shared" si="15"/>
        <v>Idoso Gratuito</v>
      </c>
      <c r="B76" s="34">
        <v>614246</v>
      </c>
      <c r="C76" s="35">
        <f>'[1]2025'!$C$78</f>
        <v>619940</v>
      </c>
      <c r="D76" s="35">
        <f>'[1]2025'!$D$78</f>
        <v>635970</v>
      </c>
      <c r="E76" s="35"/>
      <c r="F76" s="35"/>
      <c r="G76" s="35"/>
      <c r="H76" s="35"/>
      <c r="I76" s="35"/>
      <c r="J76" s="35"/>
      <c r="K76" s="35"/>
      <c r="L76" s="35"/>
      <c r="M76" s="35"/>
      <c r="N76" s="38">
        <f>SUM(B76:M76)</f>
        <v>1870156</v>
      </c>
    </row>
    <row r="77" spans="1:16" ht="21.75" customHeight="1" x14ac:dyDescent="0.25">
      <c r="A77" s="6" t="str">
        <f t="shared" si="15"/>
        <v>Passe Escolar (50%)</v>
      </c>
      <c r="B77" s="34">
        <f>38098+55662</f>
        <v>93760</v>
      </c>
      <c r="C77" s="35">
        <f>'[1]2025'!$C$73</f>
        <v>204516</v>
      </c>
      <c r="D77" s="35">
        <f>'[1]2025'!$D$73</f>
        <v>262036</v>
      </c>
      <c r="E77" s="35"/>
      <c r="F77" s="35"/>
      <c r="G77" s="35"/>
      <c r="H77" s="35"/>
      <c r="I77" s="35"/>
      <c r="J77" s="35"/>
      <c r="K77" s="35"/>
      <c r="L77" s="35"/>
      <c r="M77" s="35"/>
      <c r="N77" s="30">
        <f t="shared" si="30"/>
        <v>560312</v>
      </c>
    </row>
    <row r="78" spans="1:16" ht="21.75" customHeight="1" x14ac:dyDescent="0.25">
      <c r="A78" s="9" t="str">
        <f t="shared" si="15"/>
        <v>Escolar Gratuito (100%)</v>
      </c>
      <c r="B78" s="34">
        <v>1725</v>
      </c>
      <c r="C78" s="35">
        <f>'[1]2025'!$C$74</f>
        <v>128560</v>
      </c>
      <c r="D78" s="35">
        <f>'[1]2025'!$D$74</f>
        <v>218529</v>
      </c>
      <c r="E78" s="35"/>
      <c r="F78" s="35"/>
      <c r="G78" s="35"/>
      <c r="H78" s="35"/>
      <c r="I78" s="35"/>
      <c r="J78" s="35"/>
      <c r="K78" s="35"/>
      <c r="L78" s="35"/>
      <c r="M78" s="35"/>
      <c r="N78" s="30">
        <f t="shared" si="30"/>
        <v>348814</v>
      </c>
    </row>
    <row r="79" spans="1:16" ht="21.75" customHeight="1" x14ac:dyDescent="0.25">
      <c r="A79" s="9" t="str">
        <f t="shared" si="15"/>
        <v>Deficiente Gratuito (100%)</v>
      </c>
      <c r="B79" s="36">
        <v>119586</v>
      </c>
      <c r="C79" s="37">
        <f>'[1]2025'!$C$75</f>
        <v>132599</v>
      </c>
      <c r="D79" s="37">
        <f>'[1]2025'!$D$75</f>
        <v>133150</v>
      </c>
      <c r="E79" s="37"/>
      <c r="F79" s="37"/>
      <c r="G79" s="37"/>
      <c r="H79" s="37"/>
      <c r="I79" s="37"/>
      <c r="J79" s="37"/>
      <c r="K79" s="37"/>
      <c r="L79" s="37"/>
      <c r="M79" s="37"/>
      <c r="N79" s="38">
        <f t="shared" si="30"/>
        <v>385335</v>
      </c>
    </row>
    <row r="80" spans="1:16" ht="21.75" customHeight="1" x14ac:dyDescent="0.25">
      <c r="A80" s="6" t="str">
        <f t="shared" si="15"/>
        <v>Integrado</v>
      </c>
      <c r="B80" s="45">
        <v>42727</v>
      </c>
      <c r="C80" s="46">
        <f>'[1]2025'!$C$80</f>
        <v>45627</v>
      </c>
      <c r="D80" s="46">
        <f>'[1]2025'!$D$80</f>
        <v>44581</v>
      </c>
      <c r="E80" s="46"/>
      <c r="F80" s="46"/>
      <c r="G80" s="46"/>
      <c r="H80" s="46"/>
      <c r="I80" s="46"/>
      <c r="J80" s="46"/>
      <c r="K80" s="46"/>
      <c r="L80" s="46"/>
      <c r="M80" s="46"/>
      <c r="N80" s="30">
        <f>SUM(B80:M80)</f>
        <v>132935</v>
      </c>
    </row>
    <row r="81" spans="1:16" ht="21.75" customHeight="1" x14ac:dyDescent="0.25">
      <c r="A81" s="55" t="str">
        <f t="shared" si="15"/>
        <v>Passe Livre (Gratuito)</v>
      </c>
      <c r="B81" s="56">
        <v>1807</v>
      </c>
      <c r="C81" s="57">
        <f>'[1]2025'!$C$79</f>
        <v>1577</v>
      </c>
      <c r="D81" s="57">
        <f>'[1]2025'!$D$79</f>
        <v>1520</v>
      </c>
      <c r="E81" s="57"/>
      <c r="F81" s="57"/>
      <c r="G81" s="57"/>
      <c r="H81" s="57"/>
      <c r="I81" s="57"/>
      <c r="J81" s="57"/>
      <c r="K81" s="57"/>
      <c r="L81" s="57"/>
      <c r="M81" s="57"/>
      <c r="N81" s="58">
        <f>SUM(B81:M81)</f>
        <v>4904</v>
      </c>
    </row>
    <row r="82" spans="1:16" ht="21.75" customHeight="1" thickBot="1" x14ac:dyDescent="0.3">
      <c r="A82" s="11" t="str">
        <f t="shared" si="15"/>
        <v xml:space="preserve">Vale Especial </v>
      </c>
      <c r="B82" s="39">
        <f>9+11</f>
        <v>20</v>
      </c>
      <c r="C82" s="40">
        <f>'[1]2025'!$C$76</f>
        <v>124</v>
      </c>
      <c r="D82" s="40">
        <f>'[1]2025'!$D$76</f>
        <v>198</v>
      </c>
      <c r="E82" s="40"/>
      <c r="F82" s="40"/>
      <c r="G82" s="40"/>
      <c r="H82" s="40"/>
      <c r="I82" s="40"/>
      <c r="J82" s="40"/>
      <c r="K82" s="40"/>
      <c r="L82" s="40"/>
      <c r="M82" s="40"/>
      <c r="N82" s="41">
        <f t="shared" si="30"/>
        <v>342</v>
      </c>
    </row>
    <row r="83" spans="1:16" ht="21.75" customHeight="1" x14ac:dyDescent="0.25"/>
    <row r="84" spans="1:16" ht="21.75" customHeight="1" x14ac:dyDescent="0.25"/>
    <row r="85" spans="1:16" ht="21.75" customHeight="1" x14ac:dyDescent="0.25">
      <c r="N85" s="12"/>
    </row>
    <row r="86" spans="1:16" ht="27" customHeight="1" thickBot="1" x14ac:dyDescent="0.3">
      <c r="A86" s="104" t="s">
        <v>28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54" t="str">
        <f>N2</f>
        <v>Ano:2025</v>
      </c>
    </row>
    <row r="87" spans="1:16" ht="21.75" customHeight="1" thickBot="1" x14ac:dyDescent="0.3">
      <c r="A87" s="2" t="s">
        <v>0</v>
      </c>
      <c r="B87" s="3" t="s">
        <v>1</v>
      </c>
      <c r="C87" s="4" t="s">
        <v>2</v>
      </c>
      <c r="D87" s="4" t="s">
        <v>3</v>
      </c>
      <c r="E87" s="4" t="s">
        <v>4</v>
      </c>
      <c r="F87" s="4" t="s">
        <v>5</v>
      </c>
      <c r="G87" s="4" t="s">
        <v>6</v>
      </c>
      <c r="H87" s="4" t="s">
        <v>7</v>
      </c>
      <c r="I87" s="4" t="s">
        <v>8</v>
      </c>
      <c r="J87" s="4" t="s">
        <v>9</v>
      </c>
      <c r="K87" s="4" t="s">
        <v>10</v>
      </c>
      <c r="L87" s="4" t="s">
        <v>11</v>
      </c>
      <c r="M87" s="16" t="s">
        <v>12</v>
      </c>
      <c r="N87" s="5" t="s">
        <v>13</v>
      </c>
    </row>
    <row r="88" spans="1:16" ht="21.75" customHeight="1" x14ac:dyDescent="0.25">
      <c r="A88" s="89" t="str">
        <f t="shared" ref="A88:A124" si="31">A4</f>
        <v>Custo Por KM  (R$/km)</v>
      </c>
      <c r="B88" s="90">
        <f t="shared" ref="B88:N88" si="32">B89/B99</f>
        <v>9.5935077063650773</v>
      </c>
      <c r="C88" s="91">
        <f t="shared" si="32"/>
        <v>9.7181644897954254</v>
      </c>
      <c r="D88" s="91">
        <f t="shared" si="32"/>
        <v>9.717972536883682</v>
      </c>
      <c r="E88" s="91" t="e">
        <f t="shared" si="32"/>
        <v>#DIV/0!</v>
      </c>
      <c r="F88" s="91" t="e">
        <f t="shared" si="32"/>
        <v>#DIV/0!</v>
      </c>
      <c r="G88" s="91" t="e">
        <f t="shared" si="32"/>
        <v>#DIV/0!</v>
      </c>
      <c r="H88" s="91" t="e">
        <f t="shared" si="32"/>
        <v>#DIV/0!</v>
      </c>
      <c r="I88" s="91" t="e">
        <f t="shared" si="32"/>
        <v>#DIV/0!</v>
      </c>
      <c r="J88" s="91" t="e">
        <f t="shared" si="32"/>
        <v>#DIV/0!</v>
      </c>
      <c r="K88" s="91" t="e">
        <f t="shared" si="32"/>
        <v>#DIV/0!</v>
      </c>
      <c r="L88" s="91" t="e">
        <f t="shared" si="32"/>
        <v>#DIV/0!</v>
      </c>
      <c r="M88" s="95" t="e">
        <f t="shared" si="32"/>
        <v>#DIV/0!</v>
      </c>
      <c r="N88" s="92">
        <f t="shared" si="32"/>
        <v>9.6762831034765888</v>
      </c>
    </row>
    <row r="89" spans="1:16" ht="21.75" customHeight="1" x14ac:dyDescent="0.25">
      <c r="A89" s="6" t="str">
        <f t="shared" si="31"/>
        <v>(1) Custo Total   (R$)</v>
      </c>
      <c r="B89" s="42">
        <f t="shared" ref="B89:M96" si="33">B5+B47</f>
        <v>83996561.210000008</v>
      </c>
      <c r="C89" s="43">
        <f t="shared" si="33"/>
        <v>82071762.379999995</v>
      </c>
      <c r="D89" s="43">
        <f t="shared" si="33"/>
        <v>86492965.039999992</v>
      </c>
      <c r="E89" s="43">
        <f t="shared" si="33"/>
        <v>0</v>
      </c>
      <c r="F89" s="43">
        <f t="shared" si="33"/>
        <v>0</v>
      </c>
      <c r="G89" s="43">
        <f t="shared" si="33"/>
        <v>0</v>
      </c>
      <c r="H89" s="43">
        <f t="shared" si="33"/>
        <v>0</v>
      </c>
      <c r="I89" s="43">
        <f t="shared" si="33"/>
        <v>0</v>
      </c>
      <c r="J89" s="43">
        <f t="shared" si="33"/>
        <v>0</v>
      </c>
      <c r="K89" s="43">
        <f t="shared" si="33"/>
        <v>0</v>
      </c>
      <c r="L89" s="43">
        <f t="shared" si="33"/>
        <v>0</v>
      </c>
      <c r="M89" s="44">
        <f t="shared" si="33"/>
        <v>0</v>
      </c>
      <c r="N89" s="23">
        <f t="shared" ref="N89:N96" si="34">SUM(B89:M89)</f>
        <v>252561288.63</v>
      </c>
    </row>
    <row r="90" spans="1:16" ht="21.75" customHeight="1" x14ac:dyDescent="0.25">
      <c r="A90" s="6" t="str">
        <f t="shared" si="31"/>
        <v>Receita Arrecadada Efetiva (R$)</v>
      </c>
      <c r="B90" s="42">
        <f t="shared" si="33"/>
        <v>55506754.640000001</v>
      </c>
      <c r="C90" s="43">
        <f t="shared" si="33"/>
        <v>58577168.149999999</v>
      </c>
      <c r="D90" s="43">
        <f t="shared" si="33"/>
        <v>57662177.719999999</v>
      </c>
      <c r="E90" s="43">
        <f t="shared" si="33"/>
        <v>0</v>
      </c>
      <c r="F90" s="43">
        <f t="shared" si="33"/>
        <v>0</v>
      </c>
      <c r="G90" s="43">
        <f t="shared" si="33"/>
        <v>0</v>
      </c>
      <c r="H90" s="43">
        <f t="shared" si="33"/>
        <v>0</v>
      </c>
      <c r="I90" s="43">
        <f t="shared" si="33"/>
        <v>0</v>
      </c>
      <c r="J90" s="43">
        <f t="shared" si="33"/>
        <v>0</v>
      </c>
      <c r="K90" s="43">
        <f t="shared" si="33"/>
        <v>0</v>
      </c>
      <c r="L90" s="43">
        <f t="shared" si="33"/>
        <v>0</v>
      </c>
      <c r="M90" s="44">
        <f t="shared" si="33"/>
        <v>0</v>
      </c>
      <c r="N90" s="23">
        <f t="shared" si="34"/>
        <v>171746100.50999999</v>
      </c>
    </row>
    <row r="91" spans="1:16" ht="21.75" customHeight="1" x14ac:dyDescent="0.25">
      <c r="A91" s="6" t="str">
        <f t="shared" si="31"/>
        <v>Gerenciamento CETURB (5% da receita) (R$)</v>
      </c>
      <c r="B91" s="42">
        <f t="shared" si="33"/>
        <v>2775337.7319999998</v>
      </c>
      <c r="C91" s="43">
        <f t="shared" si="33"/>
        <v>2928858.4074999997</v>
      </c>
      <c r="D91" s="43">
        <f t="shared" si="33"/>
        <v>2883108.8859999999</v>
      </c>
      <c r="E91" s="43">
        <f t="shared" si="33"/>
        <v>0</v>
      </c>
      <c r="F91" s="43">
        <f t="shared" si="33"/>
        <v>0</v>
      </c>
      <c r="G91" s="43">
        <f t="shared" si="33"/>
        <v>0</v>
      </c>
      <c r="H91" s="43">
        <f t="shared" si="33"/>
        <v>0</v>
      </c>
      <c r="I91" s="43">
        <f t="shared" si="33"/>
        <v>0</v>
      </c>
      <c r="J91" s="43">
        <f t="shared" si="33"/>
        <v>0</v>
      </c>
      <c r="K91" s="43">
        <f t="shared" si="33"/>
        <v>0</v>
      </c>
      <c r="L91" s="43">
        <f t="shared" si="33"/>
        <v>0</v>
      </c>
      <c r="M91" s="44">
        <f t="shared" si="33"/>
        <v>0</v>
      </c>
      <c r="N91" s="23">
        <f t="shared" si="34"/>
        <v>8587305.0254999995</v>
      </c>
    </row>
    <row r="92" spans="1:16" ht="21.75" customHeight="1" x14ac:dyDescent="0.25">
      <c r="A92" s="6" t="str">
        <f t="shared" si="31"/>
        <v>(2) Receita Efetiva Líquida(R$)</v>
      </c>
      <c r="B92" s="42">
        <f t="shared" si="33"/>
        <v>52731416.907999992</v>
      </c>
      <c r="C92" s="43">
        <f t="shared" si="33"/>
        <v>55648309.7425</v>
      </c>
      <c r="D92" s="43">
        <f t="shared" si="33"/>
        <v>54779068.833999999</v>
      </c>
      <c r="E92" s="43">
        <f t="shared" si="33"/>
        <v>0</v>
      </c>
      <c r="F92" s="43">
        <f t="shared" si="33"/>
        <v>0</v>
      </c>
      <c r="G92" s="43">
        <f t="shared" si="33"/>
        <v>0</v>
      </c>
      <c r="H92" s="43">
        <f t="shared" si="33"/>
        <v>0</v>
      </c>
      <c r="I92" s="43">
        <f t="shared" si="33"/>
        <v>0</v>
      </c>
      <c r="J92" s="43">
        <f t="shared" si="33"/>
        <v>0</v>
      </c>
      <c r="K92" s="43">
        <f t="shared" si="33"/>
        <v>0</v>
      </c>
      <c r="L92" s="43">
        <f t="shared" si="33"/>
        <v>0</v>
      </c>
      <c r="M92" s="44">
        <f t="shared" si="33"/>
        <v>0</v>
      </c>
      <c r="N92" s="23">
        <f t="shared" si="34"/>
        <v>163158795.48449999</v>
      </c>
    </row>
    <row r="93" spans="1:16" ht="21.75" customHeight="1" x14ac:dyDescent="0.25">
      <c r="A93" s="6" t="str">
        <f t="shared" si="31"/>
        <v>(3) % Evasão da receita (2,64%) (R$)</v>
      </c>
      <c r="B93" s="42">
        <f t="shared" si="33"/>
        <v>1392109.4063712</v>
      </c>
      <c r="C93" s="43">
        <f t="shared" si="33"/>
        <v>1469115.377202</v>
      </c>
      <c r="D93" s="43">
        <f t="shared" si="33"/>
        <v>1446167.4172175999</v>
      </c>
      <c r="E93" s="43">
        <f t="shared" si="33"/>
        <v>0</v>
      </c>
      <c r="F93" s="43">
        <f t="shared" si="33"/>
        <v>0</v>
      </c>
      <c r="G93" s="43">
        <f t="shared" si="33"/>
        <v>0</v>
      </c>
      <c r="H93" s="43">
        <f t="shared" si="33"/>
        <v>0</v>
      </c>
      <c r="I93" s="43">
        <f t="shared" si="33"/>
        <v>0</v>
      </c>
      <c r="J93" s="43">
        <f t="shared" si="33"/>
        <v>0</v>
      </c>
      <c r="K93" s="43">
        <f t="shared" si="33"/>
        <v>0</v>
      </c>
      <c r="L93" s="43">
        <f t="shared" si="33"/>
        <v>0</v>
      </c>
      <c r="M93" s="44">
        <f t="shared" si="33"/>
        <v>0</v>
      </c>
      <c r="N93" s="23">
        <f t="shared" si="34"/>
        <v>4307392.2007908002</v>
      </c>
    </row>
    <row r="94" spans="1:16" ht="21.75" customHeight="1" x14ac:dyDescent="0.25">
      <c r="A94" s="6" t="str">
        <f t="shared" si="31"/>
        <v>(4) Receitas Acessórias (R$)</v>
      </c>
      <c r="B94" s="42">
        <f t="shared" si="33"/>
        <v>431158.04</v>
      </c>
      <c r="C94" s="43">
        <f t="shared" si="33"/>
        <v>428609.32199687499</v>
      </c>
      <c r="D94" s="43">
        <f t="shared" si="33"/>
        <v>427512.50013333332</v>
      </c>
      <c r="E94" s="43">
        <f t="shared" si="33"/>
        <v>0</v>
      </c>
      <c r="F94" s="43">
        <f t="shared" si="33"/>
        <v>0</v>
      </c>
      <c r="G94" s="43">
        <f t="shared" si="33"/>
        <v>0</v>
      </c>
      <c r="H94" s="43">
        <f t="shared" si="33"/>
        <v>0</v>
      </c>
      <c r="I94" s="43">
        <f t="shared" si="33"/>
        <v>0</v>
      </c>
      <c r="J94" s="43">
        <f t="shared" si="33"/>
        <v>0</v>
      </c>
      <c r="K94" s="43">
        <f t="shared" si="33"/>
        <v>0</v>
      </c>
      <c r="L94" s="43">
        <f t="shared" si="33"/>
        <v>0</v>
      </c>
      <c r="M94" s="44">
        <f t="shared" si="33"/>
        <v>0</v>
      </c>
      <c r="N94" s="23">
        <f t="shared" si="34"/>
        <v>1287279.8621302082</v>
      </c>
    </row>
    <row r="95" spans="1:16" ht="21.75" customHeight="1" x14ac:dyDescent="0.25">
      <c r="A95" s="6" t="str">
        <f t="shared" si="31"/>
        <v>Subsídio Tarifário = (1)-(2)-(3)-(4) (R$)</v>
      </c>
      <c r="B95" s="42">
        <f t="shared" si="33"/>
        <v>29441876.855628803</v>
      </c>
      <c r="C95" s="43">
        <f t="shared" si="33"/>
        <v>24525727.938301131</v>
      </c>
      <c r="D95" s="43">
        <f t="shared" si="33"/>
        <v>29840216.288649067</v>
      </c>
      <c r="E95" s="43">
        <f t="shared" si="33"/>
        <v>0</v>
      </c>
      <c r="F95" s="43">
        <f t="shared" si="33"/>
        <v>0</v>
      </c>
      <c r="G95" s="43">
        <f t="shared" si="33"/>
        <v>0</v>
      </c>
      <c r="H95" s="43">
        <f t="shared" si="33"/>
        <v>0</v>
      </c>
      <c r="I95" s="43">
        <f t="shared" si="33"/>
        <v>0</v>
      </c>
      <c r="J95" s="43">
        <f t="shared" si="33"/>
        <v>0</v>
      </c>
      <c r="K95" s="43">
        <f t="shared" si="33"/>
        <v>0</v>
      </c>
      <c r="L95" s="43">
        <f t="shared" si="33"/>
        <v>0</v>
      </c>
      <c r="M95" s="44">
        <f t="shared" si="33"/>
        <v>0</v>
      </c>
      <c r="N95" s="23">
        <f t="shared" si="34"/>
        <v>83807821.082579002</v>
      </c>
      <c r="P95" s="62"/>
    </row>
    <row r="96" spans="1:16" ht="21.75" customHeight="1" x14ac:dyDescent="0.25">
      <c r="A96" s="6" t="str">
        <f t="shared" si="31"/>
        <v>Gerenciamento CETURB (5% do subsídio) (R$)</v>
      </c>
      <c r="B96" s="42">
        <f t="shared" si="33"/>
        <v>1472093.8427814404</v>
      </c>
      <c r="C96" s="43">
        <f t="shared" si="33"/>
        <v>1226286.3969150565</v>
      </c>
      <c r="D96" s="43">
        <f t="shared" si="33"/>
        <v>1492010.8144324534</v>
      </c>
      <c r="E96" s="43">
        <f t="shared" si="33"/>
        <v>0</v>
      </c>
      <c r="F96" s="43">
        <f t="shared" si="33"/>
        <v>0</v>
      </c>
      <c r="G96" s="43">
        <f t="shared" si="33"/>
        <v>0</v>
      </c>
      <c r="H96" s="43">
        <f t="shared" si="33"/>
        <v>0</v>
      </c>
      <c r="I96" s="43">
        <f t="shared" si="33"/>
        <v>0</v>
      </c>
      <c r="J96" s="43">
        <f t="shared" si="33"/>
        <v>0</v>
      </c>
      <c r="K96" s="43">
        <f t="shared" si="33"/>
        <v>0</v>
      </c>
      <c r="L96" s="43">
        <f t="shared" si="33"/>
        <v>0</v>
      </c>
      <c r="M96" s="44">
        <f t="shared" si="33"/>
        <v>0</v>
      </c>
      <c r="N96" s="23">
        <f t="shared" si="34"/>
        <v>4190391.0541289505</v>
      </c>
      <c r="P96" s="62"/>
    </row>
    <row r="97" spans="1:14" ht="21.75" customHeight="1" x14ac:dyDescent="0.25">
      <c r="A97" s="76" t="str">
        <f t="shared" si="31"/>
        <v>IPK - Índice de passageiro por km</v>
      </c>
      <c r="B97" s="77">
        <f t="shared" ref="B97:N97" si="35">B115/B99</f>
        <v>1.5084937410552655</v>
      </c>
      <c r="C97" s="78">
        <f t="shared" si="35"/>
        <v>1.6470073675876153</v>
      </c>
      <c r="D97" s="78">
        <f t="shared" si="35"/>
        <v>1.5654071039020296</v>
      </c>
      <c r="E97" s="78" t="e">
        <f t="shared" si="35"/>
        <v>#DIV/0!</v>
      </c>
      <c r="F97" s="78" t="e">
        <f t="shared" si="35"/>
        <v>#DIV/0!</v>
      </c>
      <c r="G97" s="78" t="e">
        <f t="shared" si="35"/>
        <v>#DIV/0!</v>
      </c>
      <c r="H97" s="78" t="e">
        <f t="shared" si="35"/>
        <v>#DIV/0!</v>
      </c>
      <c r="I97" s="78" t="e">
        <f t="shared" si="35"/>
        <v>#DIV/0!</v>
      </c>
      <c r="J97" s="78" t="e">
        <f t="shared" si="35"/>
        <v>#DIV/0!</v>
      </c>
      <c r="K97" s="78" t="e">
        <f t="shared" si="35"/>
        <v>#DIV/0!</v>
      </c>
      <c r="L97" s="78" t="e">
        <f t="shared" si="35"/>
        <v>#DIV/0!</v>
      </c>
      <c r="M97" s="96" t="e">
        <f t="shared" si="35"/>
        <v>#DIV/0!</v>
      </c>
      <c r="N97" s="97">
        <f t="shared" si="35"/>
        <v>1.5727179681049956</v>
      </c>
    </row>
    <row r="98" spans="1:14" ht="21.75" customHeight="1" x14ac:dyDescent="0.25">
      <c r="A98" s="76" t="str">
        <f t="shared" si="31"/>
        <v>Passageiro por Viagem</v>
      </c>
      <c r="B98" s="80">
        <f>B115/B100</f>
        <v>43.140957529335871</v>
      </c>
      <c r="C98" s="80">
        <f t="shared" ref="C98:N98" si="36">C115/C100</f>
        <v>47.003796653470467</v>
      </c>
      <c r="D98" s="80">
        <f t="shared" si="36"/>
        <v>44.650285141096369</v>
      </c>
      <c r="E98" s="80" t="e">
        <f t="shared" si="36"/>
        <v>#DIV/0!</v>
      </c>
      <c r="F98" s="80" t="e">
        <f t="shared" si="36"/>
        <v>#DIV/0!</v>
      </c>
      <c r="G98" s="80" t="e">
        <f t="shared" si="36"/>
        <v>#DIV/0!</v>
      </c>
      <c r="H98" s="80" t="e">
        <f t="shared" si="36"/>
        <v>#DIV/0!</v>
      </c>
      <c r="I98" s="80" t="e">
        <f t="shared" si="36"/>
        <v>#DIV/0!</v>
      </c>
      <c r="J98" s="80" t="e">
        <f t="shared" si="36"/>
        <v>#DIV/0!</v>
      </c>
      <c r="K98" s="80" t="e">
        <f t="shared" si="36"/>
        <v>#DIV/0!</v>
      </c>
      <c r="L98" s="80" t="e">
        <f t="shared" si="36"/>
        <v>#DIV/0!</v>
      </c>
      <c r="M98" s="80" t="e">
        <f t="shared" si="36"/>
        <v>#DIV/0!</v>
      </c>
      <c r="N98" s="82">
        <f t="shared" si="36"/>
        <v>44.906669277586545</v>
      </c>
    </row>
    <row r="99" spans="1:14" ht="21.75" customHeight="1" x14ac:dyDescent="0.25">
      <c r="A99" s="6" t="str">
        <f t="shared" si="31"/>
        <v>Km Remunerada</v>
      </c>
      <c r="B99" s="42">
        <f t="shared" ref="B99:M100" si="37">B15+B57</f>
        <v>8755563.0099999998</v>
      </c>
      <c r="C99" s="43">
        <f t="shared" si="37"/>
        <v>8445191.7300000004</v>
      </c>
      <c r="D99" s="43">
        <f t="shared" si="37"/>
        <v>8900309.6799999997</v>
      </c>
      <c r="E99" s="43">
        <f t="shared" si="37"/>
        <v>0</v>
      </c>
      <c r="F99" s="43">
        <f t="shared" si="37"/>
        <v>0</v>
      </c>
      <c r="G99" s="43">
        <f t="shared" si="37"/>
        <v>0</v>
      </c>
      <c r="H99" s="43">
        <f t="shared" si="37"/>
        <v>0</v>
      </c>
      <c r="I99" s="43">
        <f t="shared" si="37"/>
        <v>0</v>
      </c>
      <c r="J99" s="43">
        <f t="shared" si="37"/>
        <v>0</v>
      </c>
      <c r="K99" s="43">
        <f t="shared" si="37"/>
        <v>0</v>
      </c>
      <c r="L99" s="43">
        <f t="shared" si="37"/>
        <v>0</v>
      </c>
      <c r="M99" s="44">
        <f t="shared" si="37"/>
        <v>0</v>
      </c>
      <c r="N99" s="23">
        <f>SUM(B99:M99)</f>
        <v>26101064.420000002</v>
      </c>
    </row>
    <row r="100" spans="1:14" ht="21.75" customHeight="1" x14ac:dyDescent="0.25">
      <c r="A100" s="6" t="str">
        <f t="shared" si="31"/>
        <v>Viagens Remuneradas</v>
      </c>
      <c r="B100" s="42">
        <f t="shared" si="37"/>
        <v>306152.5</v>
      </c>
      <c r="C100" s="43">
        <f t="shared" si="37"/>
        <v>295918.5</v>
      </c>
      <c r="D100" s="43">
        <f t="shared" si="37"/>
        <v>312038.5</v>
      </c>
      <c r="E100" s="43">
        <f t="shared" si="37"/>
        <v>0</v>
      </c>
      <c r="F100" s="43">
        <f t="shared" si="37"/>
        <v>0</v>
      </c>
      <c r="G100" s="43">
        <f t="shared" si="37"/>
        <v>0</v>
      </c>
      <c r="H100" s="43">
        <f t="shared" si="37"/>
        <v>0</v>
      </c>
      <c r="I100" s="43">
        <f t="shared" si="37"/>
        <v>0</v>
      </c>
      <c r="J100" s="43">
        <f t="shared" si="37"/>
        <v>0</v>
      </c>
      <c r="K100" s="43">
        <f t="shared" si="37"/>
        <v>0</v>
      </c>
      <c r="L100" s="43">
        <f t="shared" si="37"/>
        <v>0</v>
      </c>
      <c r="M100" s="44">
        <f t="shared" si="37"/>
        <v>0</v>
      </c>
      <c r="N100" s="23">
        <f>SUM(B100:M100)</f>
        <v>914109.5</v>
      </c>
    </row>
    <row r="101" spans="1:14" ht="21.75" customHeight="1" x14ac:dyDescent="0.25">
      <c r="A101" s="76" t="str">
        <f t="shared" si="31"/>
        <v>P.M.M - Percurso Médio Mensal</v>
      </c>
      <c r="B101" s="98">
        <f t="shared" ref="B101:M101" si="38">B99/B104</f>
        <v>5428.1233787972724</v>
      </c>
      <c r="C101" s="99">
        <f t="shared" si="38"/>
        <v>5235.7047303161817</v>
      </c>
      <c r="D101" s="99">
        <f t="shared" si="38"/>
        <v>5514.4421809169762</v>
      </c>
      <c r="E101" s="99" t="e">
        <f t="shared" si="38"/>
        <v>#DIV/0!</v>
      </c>
      <c r="F101" s="99" t="e">
        <f t="shared" si="38"/>
        <v>#DIV/0!</v>
      </c>
      <c r="G101" s="99" t="e">
        <f t="shared" si="38"/>
        <v>#DIV/0!</v>
      </c>
      <c r="H101" s="99" t="e">
        <f t="shared" si="38"/>
        <v>#DIV/0!</v>
      </c>
      <c r="I101" s="99" t="e">
        <f t="shared" si="38"/>
        <v>#DIV/0!</v>
      </c>
      <c r="J101" s="99" t="e">
        <f t="shared" si="38"/>
        <v>#DIV/0!</v>
      </c>
      <c r="K101" s="99" t="e">
        <f t="shared" si="38"/>
        <v>#DIV/0!</v>
      </c>
      <c r="L101" s="99" t="e">
        <f t="shared" si="38"/>
        <v>#DIV/0!</v>
      </c>
      <c r="M101" s="100" t="e">
        <f t="shared" si="38"/>
        <v>#DIV/0!</v>
      </c>
      <c r="N101" s="85" t="e">
        <f>SUM(B101:J101)</f>
        <v>#DIV/0!</v>
      </c>
    </row>
    <row r="102" spans="1:14" ht="21.75" customHeight="1" x14ac:dyDescent="0.25">
      <c r="A102" s="6" t="str">
        <f t="shared" si="31"/>
        <v>Frota Total</v>
      </c>
      <c r="B102" s="29">
        <f t="shared" ref="B102:M102" si="39">B18+B60</f>
        <v>1769</v>
      </c>
      <c r="C102" s="29">
        <f t="shared" si="39"/>
        <v>1770</v>
      </c>
      <c r="D102" s="29">
        <f t="shared" si="39"/>
        <v>1770</v>
      </c>
      <c r="E102" s="29">
        <f t="shared" si="39"/>
        <v>0</v>
      </c>
      <c r="F102" s="29">
        <f t="shared" si="39"/>
        <v>0</v>
      </c>
      <c r="G102" s="29">
        <f t="shared" si="39"/>
        <v>0</v>
      </c>
      <c r="H102" s="29">
        <f t="shared" si="39"/>
        <v>0</v>
      </c>
      <c r="I102" s="29">
        <f t="shared" si="39"/>
        <v>0</v>
      </c>
      <c r="J102" s="29">
        <f t="shared" si="39"/>
        <v>0</v>
      </c>
      <c r="K102" s="29">
        <f t="shared" si="39"/>
        <v>0</v>
      </c>
      <c r="L102" s="29">
        <f t="shared" si="39"/>
        <v>0</v>
      </c>
      <c r="M102" s="29">
        <f t="shared" si="39"/>
        <v>0</v>
      </c>
      <c r="N102" s="25">
        <f t="shared" ref="N102:N114" si="40">AVERAGE(B102:M102)</f>
        <v>442.41666666666669</v>
      </c>
    </row>
    <row r="103" spans="1:14" ht="21.75" customHeight="1" x14ac:dyDescent="0.25">
      <c r="A103" s="6" t="str">
        <f t="shared" si="31"/>
        <v xml:space="preserve">Idade Média </v>
      </c>
      <c r="B103" s="66">
        <v>7.05</v>
      </c>
      <c r="C103" s="67">
        <f>'[1]2025'!$C$105</f>
        <v>7.2052689352360044</v>
      </c>
      <c r="D103" s="67">
        <f>'[1]2025'!$D$105</f>
        <v>7.2052689352360044</v>
      </c>
      <c r="E103" s="67"/>
      <c r="F103" s="67"/>
      <c r="G103" s="67"/>
      <c r="H103" s="67"/>
      <c r="I103" s="67"/>
      <c r="J103" s="67"/>
      <c r="K103" s="67"/>
      <c r="L103" s="67"/>
      <c r="M103" s="68"/>
      <c r="N103" s="31">
        <f t="shared" si="40"/>
        <v>7.1535126234906699</v>
      </c>
    </row>
    <row r="104" spans="1:14" ht="21.75" customHeight="1" x14ac:dyDescent="0.25">
      <c r="A104" s="8" t="str">
        <f t="shared" si="31"/>
        <v>Frota Operante</v>
      </c>
      <c r="B104" s="29">
        <f t="shared" ref="B104:M105" si="41">B20+B62</f>
        <v>1613</v>
      </c>
      <c r="C104" s="29">
        <f t="shared" si="41"/>
        <v>1613</v>
      </c>
      <c r="D104" s="29">
        <f t="shared" si="41"/>
        <v>1614</v>
      </c>
      <c r="E104" s="29">
        <f t="shared" si="41"/>
        <v>0</v>
      </c>
      <c r="F104" s="29">
        <f t="shared" si="41"/>
        <v>0</v>
      </c>
      <c r="G104" s="29">
        <f t="shared" si="41"/>
        <v>0</v>
      </c>
      <c r="H104" s="29">
        <f t="shared" si="41"/>
        <v>0</v>
      </c>
      <c r="I104" s="29">
        <f t="shared" si="41"/>
        <v>0</v>
      </c>
      <c r="J104" s="29">
        <f t="shared" si="41"/>
        <v>0</v>
      </c>
      <c r="K104" s="29">
        <f t="shared" si="41"/>
        <v>0</v>
      </c>
      <c r="L104" s="29">
        <f t="shared" si="41"/>
        <v>0</v>
      </c>
      <c r="M104" s="29">
        <f t="shared" si="41"/>
        <v>0</v>
      </c>
      <c r="N104" s="26">
        <f t="shared" si="40"/>
        <v>403.33333333333331</v>
      </c>
    </row>
    <row r="105" spans="1:14" ht="21.75" customHeight="1" x14ac:dyDescent="0.25">
      <c r="A105" s="6" t="str">
        <f t="shared" si="31"/>
        <v xml:space="preserve">Convencional   </v>
      </c>
      <c r="B105" s="29">
        <f t="shared" si="41"/>
        <v>1630</v>
      </c>
      <c r="C105" s="29">
        <f t="shared" si="41"/>
        <v>1630</v>
      </c>
      <c r="D105" s="29">
        <f t="shared" si="41"/>
        <v>1630</v>
      </c>
      <c r="E105" s="29">
        <f t="shared" si="41"/>
        <v>0</v>
      </c>
      <c r="F105" s="29">
        <f t="shared" si="41"/>
        <v>0</v>
      </c>
      <c r="G105" s="29">
        <f t="shared" si="41"/>
        <v>0</v>
      </c>
      <c r="H105" s="29">
        <f t="shared" si="41"/>
        <v>0</v>
      </c>
      <c r="I105" s="29">
        <f t="shared" si="41"/>
        <v>0</v>
      </c>
      <c r="J105" s="29">
        <f t="shared" si="41"/>
        <v>0</v>
      </c>
      <c r="K105" s="29">
        <f t="shared" si="41"/>
        <v>0</v>
      </c>
      <c r="L105" s="29">
        <f t="shared" si="41"/>
        <v>0</v>
      </c>
      <c r="M105" s="29">
        <f t="shared" si="41"/>
        <v>0</v>
      </c>
      <c r="N105" s="27">
        <f t="shared" si="40"/>
        <v>407.5</v>
      </c>
    </row>
    <row r="106" spans="1:14" ht="21.75" customHeight="1" x14ac:dyDescent="0.25">
      <c r="A106" s="6" t="str">
        <f t="shared" si="31"/>
        <v xml:space="preserve">Idade Média </v>
      </c>
      <c r="B106" s="43">
        <f>'[1]2025'!$B$100</f>
        <v>7.1665675193337295</v>
      </c>
      <c r="C106" s="43">
        <f>'[1]2025'!$B$100</f>
        <v>7.1665675193337295</v>
      </c>
      <c r="D106" s="43">
        <f>'[1]2025'!$D$105</f>
        <v>7.2052689352360044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23">
        <f t="shared" si="40"/>
        <v>7.1794679913011548</v>
      </c>
    </row>
    <row r="107" spans="1:14" ht="21.75" customHeight="1" x14ac:dyDescent="0.25">
      <c r="A107" s="6" t="str">
        <f t="shared" si="31"/>
        <v>Articulado</v>
      </c>
      <c r="B107" s="29">
        <f t="shared" ref="B107:M107" si="42">B23+B65</f>
        <v>73</v>
      </c>
      <c r="C107" s="29">
        <f t="shared" si="42"/>
        <v>74</v>
      </c>
      <c r="D107" s="29">
        <f t="shared" si="42"/>
        <v>73</v>
      </c>
      <c r="E107" s="29">
        <f t="shared" si="42"/>
        <v>0</v>
      </c>
      <c r="F107" s="29">
        <f t="shared" si="42"/>
        <v>0</v>
      </c>
      <c r="G107" s="29">
        <f t="shared" si="42"/>
        <v>0</v>
      </c>
      <c r="H107" s="29">
        <f t="shared" si="42"/>
        <v>0</v>
      </c>
      <c r="I107" s="29">
        <f t="shared" si="42"/>
        <v>0</v>
      </c>
      <c r="J107" s="29">
        <f t="shared" si="42"/>
        <v>0</v>
      </c>
      <c r="K107" s="29">
        <f t="shared" si="42"/>
        <v>0</v>
      </c>
      <c r="L107" s="29">
        <f t="shared" si="42"/>
        <v>0</v>
      </c>
      <c r="M107" s="29">
        <f t="shared" si="42"/>
        <v>0</v>
      </c>
      <c r="N107" s="30">
        <f t="shared" si="40"/>
        <v>18.333333333333332</v>
      </c>
    </row>
    <row r="108" spans="1:14" ht="21.75" customHeight="1" x14ac:dyDescent="0.25">
      <c r="A108" s="6" t="str">
        <f t="shared" si="31"/>
        <v xml:space="preserve">Idade Média </v>
      </c>
      <c r="B108" s="43">
        <f>'[1]2025'!$B$102</f>
        <v>9.9210526315789469</v>
      </c>
      <c r="C108" s="43">
        <f>'[1]2025'!$C$102</f>
        <v>9.8461538461538467</v>
      </c>
      <c r="D108" s="43">
        <f>'[1]2025'!$D$102</f>
        <v>9.9210526315789469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23">
        <f t="shared" si="40"/>
        <v>9.896086369770579</v>
      </c>
    </row>
    <row r="109" spans="1:14" ht="21.75" customHeight="1" x14ac:dyDescent="0.25">
      <c r="A109" s="6" t="str">
        <f t="shared" si="31"/>
        <v>Micro</v>
      </c>
      <c r="B109" s="29">
        <f t="shared" ref="B109:M109" si="43">B25+B67</f>
        <v>39</v>
      </c>
      <c r="C109" s="29">
        <f t="shared" si="43"/>
        <v>39</v>
      </c>
      <c r="D109" s="29">
        <f t="shared" si="43"/>
        <v>39</v>
      </c>
      <c r="E109" s="29">
        <f t="shared" si="43"/>
        <v>0</v>
      </c>
      <c r="F109" s="29">
        <f t="shared" si="43"/>
        <v>0</v>
      </c>
      <c r="G109" s="29">
        <f t="shared" si="43"/>
        <v>0</v>
      </c>
      <c r="H109" s="29">
        <f t="shared" si="43"/>
        <v>0</v>
      </c>
      <c r="I109" s="29">
        <f t="shared" si="43"/>
        <v>0</v>
      </c>
      <c r="J109" s="29">
        <f t="shared" si="43"/>
        <v>0</v>
      </c>
      <c r="K109" s="29">
        <f t="shared" si="43"/>
        <v>0</v>
      </c>
      <c r="L109" s="29">
        <f t="shared" si="43"/>
        <v>0</v>
      </c>
      <c r="M109" s="29">
        <f t="shared" si="43"/>
        <v>0</v>
      </c>
      <c r="N109" s="30">
        <f t="shared" si="40"/>
        <v>9.75</v>
      </c>
    </row>
    <row r="110" spans="1:14" ht="21.75" customHeight="1" x14ac:dyDescent="0.25">
      <c r="A110" s="6" t="str">
        <f t="shared" si="31"/>
        <v xml:space="preserve">Idade Média </v>
      </c>
      <c r="B110" s="43">
        <f>'[1]2025'!$B$104</f>
        <v>5.6363636363636367</v>
      </c>
      <c r="C110" s="43">
        <f>'[1]2025'!$C$104</f>
        <v>5.6363636363636367</v>
      </c>
      <c r="D110" s="43">
        <f>'[1]2025'!$D$104</f>
        <v>5.6363636363636367</v>
      </c>
      <c r="E110" s="43"/>
      <c r="F110" s="43"/>
      <c r="G110" s="43"/>
      <c r="H110" s="43"/>
      <c r="I110" s="43"/>
      <c r="J110" s="43"/>
      <c r="K110" s="43"/>
      <c r="L110" s="43"/>
      <c r="M110" s="43"/>
      <c r="N110" s="31">
        <f t="shared" si="40"/>
        <v>5.6363636363636367</v>
      </c>
    </row>
    <row r="111" spans="1:14" ht="21.75" customHeight="1" x14ac:dyDescent="0.25">
      <c r="A111" s="6" t="str">
        <f t="shared" si="31"/>
        <v>Padron Elétrico</v>
      </c>
      <c r="B111" s="29">
        <f t="shared" ref="B111:M111" si="44">B27+B69</f>
        <v>2</v>
      </c>
      <c r="C111" s="29">
        <f t="shared" si="44"/>
        <v>2</v>
      </c>
      <c r="D111" s="29">
        <f t="shared" si="44"/>
        <v>3</v>
      </c>
      <c r="E111" s="29">
        <f t="shared" si="44"/>
        <v>0</v>
      </c>
      <c r="F111" s="29">
        <f t="shared" si="44"/>
        <v>0</v>
      </c>
      <c r="G111" s="29">
        <f t="shared" si="44"/>
        <v>0</v>
      </c>
      <c r="H111" s="29">
        <f t="shared" si="44"/>
        <v>0</v>
      </c>
      <c r="I111" s="29">
        <f t="shared" si="44"/>
        <v>0</v>
      </c>
      <c r="J111" s="29">
        <f t="shared" si="44"/>
        <v>0</v>
      </c>
      <c r="K111" s="29">
        <f t="shared" si="44"/>
        <v>0</v>
      </c>
      <c r="L111" s="29">
        <f t="shared" si="44"/>
        <v>0</v>
      </c>
      <c r="M111" s="29">
        <f t="shared" si="44"/>
        <v>0</v>
      </c>
      <c r="N111" s="30">
        <f t="shared" si="40"/>
        <v>0.58333333333333337</v>
      </c>
    </row>
    <row r="112" spans="1:14" ht="21.75" customHeight="1" x14ac:dyDescent="0.25">
      <c r="A112" s="6" t="str">
        <f t="shared" si="31"/>
        <v xml:space="preserve">Idade Média </v>
      </c>
      <c r="B112" s="43">
        <v>2</v>
      </c>
      <c r="C112" s="43">
        <f>[10]GECON!$G$24</f>
        <v>2</v>
      </c>
      <c r="D112" s="43">
        <f>[8]GECON!$G$24</f>
        <v>2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31">
        <f t="shared" si="40"/>
        <v>2</v>
      </c>
    </row>
    <row r="113" spans="1:14" ht="21.75" customHeight="1" x14ac:dyDescent="0.25">
      <c r="A113" s="6" t="str">
        <f t="shared" si="31"/>
        <v>Micro Transcol +Acessível</v>
      </c>
      <c r="B113" s="29">
        <f t="shared" ref="B113:M113" si="45">B29+B71</f>
        <v>25</v>
      </c>
      <c r="C113" s="29">
        <f t="shared" si="45"/>
        <v>25</v>
      </c>
      <c r="D113" s="29">
        <f t="shared" si="45"/>
        <v>25</v>
      </c>
      <c r="E113" s="29">
        <f t="shared" si="45"/>
        <v>0</v>
      </c>
      <c r="F113" s="29">
        <f t="shared" si="45"/>
        <v>0</v>
      </c>
      <c r="G113" s="29">
        <f t="shared" si="45"/>
        <v>0</v>
      </c>
      <c r="H113" s="29">
        <f t="shared" si="45"/>
        <v>0</v>
      </c>
      <c r="I113" s="29">
        <f t="shared" si="45"/>
        <v>0</v>
      </c>
      <c r="J113" s="29">
        <f t="shared" si="45"/>
        <v>0</v>
      </c>
      <c r="K113" s="29">
        <f t="shared" si="45"/>
        <v>0</v>
      </c>
      <c r="L113" s="29">
        <f t="shared" si="45"/>
        <v>0</v>
      </c>
      <c r="M113" s="29">
        <f t="shared" si="45"/>
        <v>0</v>
      </c>
      <c r="N113" s="30">
        <f t="shared" si="40"/>
        <v>6.25</v>
      </c>
    </row>
    <row r="114" spans="1:14" ht="21.75" customHeight="1" x14ac:dyDescent="0.25">
      <c r="A114" s="6" t="str">
        <f t="shared" si="31"/>
        <v xml:space="preserve">Idade Média </v>
      </c>
      <c r="B114" s="69">
        <f>'[1]2025'!$B$109</f>
        <v>4.88</v>
      </c>
      <c r="C114" s="70">
        <f>'[1]2025'!$C$109</f>
        <v>4.88</v>
      </c>
      <c r="D114" s="70">
        <f>'[1]2025'!$D$109</f>
        <v>4.88</v>
      </c>
      <c r="E114" s="70"/>
      <c r="F114" s="70"/>
      <c r="G114" s="70"/>
      <c r="H114" s="70"/>
      <c r="I114" s="70"/>
      <c r="J114" s="70"/>
      <c r="K114" s="70"/>
      <c r="L114" s="70"/>
      <c r="M114" s="71"/>
      <c r="N114" s="31">
        <f t="shared" si="40"/>
        <v>4.88</v>
      </c>
    </row>
    <row r="115" spans="1:14" ht="21.75" customHeight="1" x14ac:dyDescent="0.25">
      <c r="A115" s="76" t="str">
        <f t="shared" si="31"/>
        <v>Demanda Total</v>
      </c>
      <c r="B115" s="101">
        <f t="shared" ref="B115:M124" si="46">B31+B73</f>
        <v>13207712</v>
      </c>
      <c r="C115" s="101">
        <f t="shared" si="46"/>
        <v>13909293</v>
      </c>
      <c r="D115" s="101">
        <f t="shared" si="46"/>
        <v>13932608</v>
      </c>
      <c r="E115" s="101">
        <f t="shared" si="46"/>
        <v>0</v>
      </c>
      <c r="F115" s="101">
        <f t="shared" si="46"/>
        <v>0</v>
      </c>
      <c r="G115" s="101">
        <f t="shared" si="46"/>
        <v>0</v>
      </c>
      <c r="H115" s="101">
        <f t="shared" si="46"/>
        <v>0</v>
      </c>
      <c r="I115" s="101">
        <f t="shared" si="46"/>
        <v>0</v>
      </c>
      <c r="J115" s="101">
        <f t="shared" si="46"/>
        <v>0</v>
      </c>
      <c r="K115" s="101">
        <f t="shared" si="46"/>
        <v>0</v>
      </c>
      <c r="L115" s="101">
        <f t="shared" si="46"/>
        <v>0</v>
      </c>
      <c r="M115" s="101">
        <f t="shared" si="46"/>
        <v>0</v>
      </c>
      <c r="N115" s="88">
        <f t="shared" ref="N115:N124" si="47">SUM(B115:M115)</f>
        <v>41049613</v>
      </c>
    </row>
    <row r="116" spans="1:14" ht="21.75" customHeight="1" x14ac:dyDescent="0.25">
      <c r="A116" s="6" t="str">
        <f t="shared" si="31"/>
        <v>Vale Transporte</v>
      </c>
      <c r="B116" s="32">
        <f t="shared" si="46"/>
        <v>6548541</v>
      </c>
      <c r="C116" s="33">
        <f t="shared" si="46"/>
        <v>6493504</v>
      </c>
      <c r="D116" s="33">
        <f t="shared" si="46"/>
        <v>6493699</v>
      </c>
      <c r="E116" s="33">
        <f t="shared" si="46"/>
        <v>0</v>
      </c>
      <c r="F116" s="33">
        <f t="shared" si="46"/>
        <v>0</v>
      </c>
      <c r="G116" s="33">
        <f t="shared" si="46"/>
        <v>0</v>
      </c>
      <c r="H116" s="33">
        <f t="shared" si="46"/>
        <v>0</v>
      </c>
      <c r="I116" s="33">
        <f t="shared" si="46"/>
        <v>0</v>
      </c>
      <c r="J116" s="33">
        <f t="shared" si="46"/>
        <v>0</v>
      </c>
      <c r="K116" s="33">
        <f t="shared" si="46"/>
        <v>0</v>
      </c>
      <c r="L116" s="33">
        <f t="shared" si="46"/>
        <v>0</v>
      </c>
      <c r="M116" s="47">
        <f t="shared" si="46"/>
        <v>0</v>
      </c>
      <c r="N116" s="30">
        <f t="shared" si="47"/>
        <v>19535744</v>
      </c>
    </row>
    <row r="117" spans="1:14" ht="21.75" customHeight="1" x14ac:dyDescent="0.25">
      <c r="A117" s="9" t="str">
        <f t="shared" si="31"/>
        <v>Cartão Cidadão</v>
      </c>
      <c r="B117" s="32">
        <f t="shared" si="46"/>
        <v>5093536</v>
      </c>
      <c r="C117" s="33">
        <f t="shared" si="46"/>
        <v>5364611</v>
      </c>
      <c r="D117" s="33">
        <f t="shared" si="46"/>
        <v>5066376</v>
      </c>
      <c r="E117" s="33">
        <f t="shared" si="46"/>
        <v>0</v>
      </c>
      <c r="F117" s="33">
        <f t="shared" si="46"/>
        <v>0</v>
      </c>
      <c r="G117" s="33">
        <f t="shared" si="46"/>
        <v>0</v>
      </c>
      <c r="H117" s="33">
        <f t="shared" si="46"/>
        <v>0</v>
      </c>
      <c r="I117" s="33">
        <f t="shared" si="46"/>
        <v>0</v>
      </c>
      <c r="J117" s="33">
        <f t="shared" si="46"/>
        <v>0</v>
      </c>
      <c r="K117" s="33">
        <f t="shared" si="46"/>
        <v>0</v>
      </c>
      <c r="L117" s="33">
        <f t="shared" si="46"/>
        <v>0</v>
      </c>
      <c r="M117" s="47">
        <f t="shared" si="46"/>
        <v>0</v>
      </c>
      <c r="N117" s="30">
        <f t="shared" si="47"/>
        <v>15524523</v>
      </c>
    </row>
    <row r="118" spans="1:14" ht="21.75" customHeight="1" x14ac:dyDescent="0.25">
      <c r="A118" s="9" t="str">
        <f t="shared" si="31"/>
        <v>Idoso Gratuito</v>
      </c>
      <c r="B118" s="32">
        <f t="shared" si="46"/>
        <v>1105019</v>
      </c>
      <c r="C118" s="33">
        <f t="shared" si="46"/>
        <v>1120503</v>
      </c>
      <c r="D118" s="33">
        <f t="shared" si="46"/>
        <v>1146053</v>
      </c>
      <c r="E118" s="33">
        <f t="shared" si="46"/>
        <v>0</v>
      </c>
      <c r="F118" s="33">
        <f t="shared" si="46"/>
        <v>0</v>
      </c>
      <c r="G118" s="33">
        <f t="shared" si="46"/>
        <v>0</v>
      </c>
      <c r="H118" s="33">
        <f t="shared" si="46"/>
        <v>0</v>
      </c>
      <c r="I118" s="33">
        <f t="shared" si="46"/>
        <v>0</v>
      </c>
      <c r="J118" s="33">
        <f t="shared" si="46"/>
        <v>0</v>
      </c>
      <c r="K118" s="33">
        <f t="shared" si="46"/>
        <v>0</v>
      </c>
      <c r="L118" s="33">
        <f t="shared" si="46"/>
        <v>0</v>
      </c>
      <c r="M118" s="47">
        <f t="shared" si="46"/>
        <v>0</v>
      </c>
      <c r="N118" s="30">
        <f t="shared" si="47"/>
        <v>3371575</v>
      </c>
    </row>
    <row r="119" spans="1:14" ht="21.75" customHeight="1" x14ac:dyDescent="0.25">
      <c r="A119" s="6" t="str">
        <f t="shared" si="31"/>
        <v>Passe Escolar (50%)</v>
      </c>
      <c r="B119" s="32">
        <f t="shared" si="46"/>
        <v>166662</v>
      </c>
      <c r="C119" s="33">
        <f t="shared" si="46"/>
        <v>371529</v>
      </c>
      <c r="D119" s="33">
        <f t="shared" si="46"/>
        <v>494980</v>
      </c>
      <c r="E119" s="33">
        <f t="shared" si="46"/>
        <v>0</v>
      </c>
      <c r="F119" s="33">
        <f t="shared" si="46"/>
        <v>0</v>
      </c>
      <c r="G119" s="33">
        <f t="shared" si="46"/>
        <v>0</v>
      </c>
      <c r="H119" s="33">
        <f t="shared" si="46"/>
        <v>0</v>
      </c>
      <c r="I119" s="33">
        <f t="shared" si="46"/>
        <v>0</v>
      </c>
      <c r="J119" s="33">
        <f t="shared" si="46"/>
        <v>0</v>
      </c>
      <c r="K119" s="33">
        <f t="shared" si="46"/>
        <v>0</v>
      </c>
      <c r="L119" s="33">
        <f t="shared" si="46"/>
        <v>0</v>
      </c>
      <c r="M119" s="47">
        <f t="shared" si="46"/>
        <v>0</v>
      </c>
      <c r="N119" s="38">
        <f t="shared" si="47"/>
        <v>1033171</v>
      </c>
    </row>
    <row r="120" spans="1:14" ht="21.75" customHeight="1" x14ac:dyDescent="0.25">
      <c r="A120" s="9" t="str">
        <f t="shared" si="31"/>
        <v>Escolar Gratuito (100%)</v>
      </c>
      <c r="B120" s="32">
        <f t="shared" si="46"/>
        <v>4519</v>
      </c>
      <c r="C120" s="33">
        <f t="shared" si="46"/>
        <v>237749</v>
      </c>
      <c r="D120" s="33">
        <f t="shared" si="46"/>
        <v>411166</v>
      </c>
      <c r="E120" s="33">
        <f t="shared" si="46"/>
        <v>0</v>
      </c>
      <c r="F120" s="33">
        <f t="shared" si="46"/>
        <v>0</v>
      </c>
      <c r="G120" s="33">
        <f t="shared" si="46"/>
        <v>0</v>
      </c>
      <c r="H120" s="33">
        <f t="shared" si="46"/>
        <v>0</v>
      </c>
      <c r="I120" s="33">
        <f t="shared" si="46"/>
        <v>0</v>
      </c>
      <c r="J120" s="33">
        <f t="shared" si="46"/>
        <v>0</v>
      </c>
      <c r="K120" s="33">
        <f t="shared" si="46"/>
        <v>0</v>
      </c>
      <c r="L120" s="33">
        <f t="shared" si="46"/>
        <v>0</v>
      </c>
      <c r="M120" s="47">
        <f t="shared" si="46"/>
        <v>0</v>
      </c>
      <c r="N120" s="38">
        <f t="shared" si="47"/>
        <v>653434</v>
      </c>
    </row>
    <row r="121" spans="1:14" ht="21.75" customHeight="1" x14ac:dyDescent="0.25">
      <c r="A121" s="9" t="str">
        <f t="shared" si="31"/>
        <v>Deficiente Gratuito (100%)</v>
      </c>
      <c r="B121" s="32">
        <f t="shared" si="46"/>
        <v>208138</v>
      </c>
      <c r="C121" s="33">
        <f t="shared" si="46"/>
        <v>233053</v>
      </c>
      <c r="D121" s="33">
        <f t="shared" si="46"/>
        <v>233113</v>
      </c>
      <c r="E121" s="33">
        <f t="shared" si="46"/>
        <v>0</v>
      </c>
      <c r="F121" s="33">
        <f t="shared" si="46"/>
        <v>0</v>
      </c>
      <c r="G121" s="33">
        <f t="shared" si="46"/>
        <v>0</v>
      </c>
      <c r="H121" s="33">
        <f t="shared" si="46"/>
        <v>0</v>
      </c>
      <c r="I121" s="33">
        <f t="shared" si="46"/>
        <v>0</v>
      </c>
      <c r="J121" s="33">
        <f t="shared" si="46"/>
        <v>0</v>
      </c>
      <c r="K121" s="33">
        <f t="shared" si="46"/>
        <v>0</v>
      </c>
      <c r="L121" s="33">
        <f t="shared" si="46"/>
        <v>0</v>
      </c>
      <c r="M121" s="47">
        <f t="shared" si="46"/>
        <v>0</v>
      </c>
      <c r="N121" s="38">
        <f t="shared" si="47"/>
        <v>674304</v>
      </c>
    </row>
    <row r="122" spans="1:14" ht="21.75" customHeight="1" x14ac:dyDescent="0.25">
      <c r="A122" s="6" t="str">
        <f t="shared" si="31"/>
        <v>Integrado</v>
      </c>
      <c r="B122" s="32">
        <f t="shared" si="46"/>
        <v>78595</v>
      </c>
      <c r="C122" s="33">
        <f t="shared" si="46"/>
        <v>85890</v>
      </c>
      <c r="D122" s="33">
        <f t="shared" si="46"/>
        <v>84887</v>
      </c>
      <c r="E122" s="33">
        <f t="shared" si="46"/>
        <v>0</v>
      </c>
      <c r="F122" s="33">
        <f t="shared" si="46"/>
        <v>0</v>
      </c>
      <c r="G122" s="33">
        <f t="shared" si="46"/>
        <v>0</v>
      </c>
      <c r="H122" s="33">
        <f t="shared" si="46"/>
        <v>0</v>
      </c>
      <c r="I122" s="33">
        <f t="shared" si="46"/>
        <v>0</v>
      </c>
      <c r="J122" s="33">
        <f t="shared" si="46"/>
        <v>0</v>
      </c>
      <c r="K122" s="33">
        <f t="shared" si="46"/>
        <v>0</v>
      </c>
      <c r="L122" s="33">
        <f t="shared" si="46"/>
        <v>0</v>
      </c>
      <c r="M122" s="47">
        <f t="shared" si="46"/>
        <v>0</v>
      </c>
      <c r="N122" s="38">
        <f t="shared" si="47"/>
        <v>249372</v>
      </c>
    </row>
    <row r="123" spans="1:14" ht="21.75" customHeight="1" x14ac:dyDescent="0.25">
      <c r="A123" s="55" t="str">
        <f t="shared" si="31"/>
        <v>Passe Livre (Gratuito)</v>
      </c>
      <c r="B123" s="48">
        <f t="shared" si="46"/>
        <v>2682</v>
      </c>
      <c r="C123" s="49">
        <f t="shared" si="46"/>
        <v>2325</v>
      </c>
      <c r="D123" s="49">
        <f t="shared" si="46"/>
        <v>2125</v>
      </c>
      <c r="E123" s="49">
        <f t="shared" si="46"/>
        <v>0</v>
      </c>
      <c r="F123" s="49">
        <f t="shared" si="46"/>
        <v>0</v>
      </c>
      <c r="G123" s="49">
        <f t="shared" si="46"/>
        <v>0</v>
      </c>
      <c r="H123" s="49">
        <f t="shared" si="46"/>
        <v>0</v>
      </c>
      <c r="I123" s="49">
        <f t="shared" si="46"/>
        <v>0</v>
      </c>
      <c r="J123" s="49">
        <f t="shared" si="46"/>
        <v>0</v>
      </c>
      <c r="K123" s="49">
        <f t="shared" si="46"/>
        <v>0</v>
      </c>
      <c r="L123" s="49">
        <f t="shared" si="46"/>
        <v>0</v>
      </c>
      <c r="M123" s="50">
        <f t="shared" si="46"/>
        <v>0</v>
      </c>
      <c r="N123" s="38">
        <f t="shared" si="47"/>
        <v>7132</v>
      </c>
    </row>
    <row r="124" spans="1:14" ht="21.75" customHeight="1" thickBot="1" x14ac:dyDescent="0.3">
      <c r="A124" s="11" t="str">
        <f t="shared" si="31"/>
        <v xml:space="preserve">Vale Especial </v>
      </c>
      <c r="B124" s="51">
        <f t="shared" si="46"/>
        <v>20</v>
      </c>
      <c r="C124" s="52">
        <f t="shared" si="46"/>
        <v>129</v>
      </c>
      <c r="D124" s="52">
        <f t="shared" si="46"/>
        <v>209</v>
      </c>
      <c r="E124" s="52">
        <f t="shared" si="46"/>
        <v>0</v>
      </c>
      <c r="F124" s="52">
        <f t="shared" si="46"/>
        <v>0</v>
      </c>
      <c r="G124" s="52">
        <f t="shared" si="46"/>
        <v>0</v>
      </c>
      <c r="H124" s="52">
        <f t="shared" si="46"/>
        <v>0</v>
      </c>
      <c r="I124" s="52">
        <f t="shared" si="46"/>
        <v>0</v>
      </c>
      <c r="J124" s="52">
        <f t="shared" si="46"/>
        <v>0</v>
      </c>
      <c r="K124" s="52">
        <f t="shared" si="46"/>
        <v>0</v>
      </c>
      <c r="L124" s="52">
        <f t="shared" si="46"/>
        <v>0</v>
      </c>
      <c r="M124" s="53">
        <f t="shared" si="46"/>
        <v>0</v>
      </c>
      <c r="N124" s="41">
        <f t="shared" si="47"/>
        <v>358</v>
      </c>
    </row>
    <row r="125" spans="1:14" x14ac:dyDescent="0.25">
      <c r="I125" s="18"/>
    </row>
    <row r="126" spans="1:14" x14ac:dyDescent="0.25">
      <c r="I126" s="18"/>
    </row>
    <row r="127" spans="1:14" x14ac:dyDescent="0.25">
      <c r="I127" s="18"/>
    </row>
    <row r="128" spans="1:14" x14ac:dyDescent="0.25">
      <c r="I128" s="18"/>
    </row>
    <row r="129" spans="9:9" x14ac:dyDescent="0.25">
      <c r="I129" s="18"/>
    </row>
    <row r="130" spans="9:9" x14ac:dyDescent="0.25">
      <c r="I130" s="18"/>
    </row>
    <row r="131" spans="9:9" x14ac:dyDescent="0.25">
      <c r="I131" s="18"/>
    </row>
    <row r="132" spans="9:9" x14ac:dyDescent="0.25">
      <c r="I132" s="18"/>
    </row>
    <row r="133" spans="9:9" x14ac:dyDescent="0.25">
      <c r="I133" s="18"/>
    </row>
    <row r="134" spans="9:9" x14ac:dyDescent="0.25">
      <c r="I134" s="18"/>
    </row>
    <row r="135" spans="9:9" x14ac:dyDescent="0.25">
      <c r="I135" s="18"/>
    </row>
    <row r="136" spans="9:9" x14ac:dyDescent="0.25">
      <c r="I136" s="18"/>
    </row>
    <row r="137" spans="9:9" x14ac:dyDescent="0.25">
      <c r="I137" s="18"/>
    </row>
    <row r="138" spans="9:9" x14ac:dyDescent="0.25">
      <c r="I138" s="18"/>
    </row>
    <row r="139" spans="9:9" x14ac:dyDescent="0.25">
      <c r="I139" s="18"/>
    </row>
    <row r="140" spans="9:9" x14ac:dyDescent="0.25">
      <c r="I140" s="18"/>
    </row>
    <row r="141" spans="9:9" x14ac:dyDescent="0.25">
      <c r="I141" s="18"/>
    </row>
    <row r="142" spans="9:9" x14ac:dyDescent="0.25">
      <c r="I142" s="18"/>
    </row>
    <row r="143" spans="9:9" x14ac:dyDescent="0.25">
      <c r="I143" s="18"/>
    </row>
    <row r="144" spans="9:9" x14ac:dyDescent="0.25">
      <c r="I144" s="18"/>
    </row>
    <row r="145" spans="9:9" x14ac:dyDescent="0.25">
      <c r="I145" s="18"/>
    </row>
    <row r="146" spans="9:9" x14ac:dyDescent="0.25">
      <c r="I146" s="18"/>
    </row>
    <row r="147" spans="9:9" x14ac:dyDescent="0.25">
      <c r="I147" s="18"/>
    </row>
    <row r="148" spans="9:9" x14ac:dyDescent="0.25">
      <c r="I148" s="18"/>
    </row>
    <row r="149" spans="9:9" x14ac:dyDescent="0.25">
      <c r="I149" s="18"/>
    </row>
    <row r="150" spans="9:9" x14ac:dyDescent="0.25">
      <c r="I150" s="18"/>
    </row>
    <row r="151" spans="9:9" x14ac:dyDescent="0.25">
      <c r="I151" s="18"/>
    </row>
    <row r="152" spans="9:9" x14ac:dyDescent="0.25">
      <c r="I152" s="18"/>
    </row>
    <row r="153" spans="9:9" x14ac:dyDescent="0.25">
      <c r="I153" s="18"/>
    </row>
    <row r="154" spans="9:9" x14ac:dyDescent="0.25">
      <c r="I154" s="18"/>
    </row>
    <row r="155" spans="9:9" x14ac:dyDescent="0.25">
      <c r="I155" s="18"/>
    </row>
    <row r="156" spans="9:9" x14ac:dyDescent="0.25">
      <c r="I156" s="18"/>
    </row>
    <row r="157" spans="9:9" x14ac:dyDescent="0.25">
      <c r="I157" s="18"/>
    </row>
    <row r="158" spans="9:9" x14ac:dyDescent="0.25">
      <c r="I158" s="18"/>
    </row>
    <row r="159" spans="9:9" x14ac:dyDescent="0.25">
      <c r="I159" s="18"/>
    </row>
    <row r="160" spans="9:9" x14ac:dyDescent="0.25">
      <c r="I160" s="18"/>
    </row>
    <row r="161" spans="1:14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1"/>
      <c r="K161" s="21"/>
      <c r="L161" s="21"/>
      <c r="M161" s="21"/>
      <c r="N161" s="21"/>
    </row>
    <row r="162" spans="1:14" x14ac:dyDescent="0.25">
      <c r="E162" s="22"/>
      <c r="F162" s="20"/>
      <c r="H162" s="17"/>
      <c r="K162" s="18"/>
    </row>
    <row r="163" spans="1:14" x14ac:dyDescent="0.25">
      <c r="E163" s="22"/>
      <c r="F163" s="20"/>
      <c r="H163" s="17"/>
      <c r="L163" s="18"/>
    </row>
    <row r="164" spans="1:14" x14ac:dyDescent="0.25">
      <c r="B164" s="22"/>
      <c r="E164" s="22"/>
      <c r="F164" s="20"/>
      <c r="L164" s="18"/>
    </row>
    <row r="165" spans="1:14" x14ac:dyDescent="0.25">
      <c r="B165" s="19"/>
      <c r="E165" s="22"/>
      <c r="F165" s="20"/>
      <c r="H165" s="17"/>
      <c r="L165" s="18"/>
    </row>
    <row r="166" spans="1:14" x14ac:dyDescent="0.25">
      <c r="H166" s="17"/>
      <c r="L166" s="18"/>
    </row>
    <row r="167" spans="1:14" x14ac:dyDescent="0.25">
      <c r="L167" s="18"/>
    </row>
  </sheetData>
  <mergeCells count="3">
    <mergeCell ref="A2:M2"/>
    <mergeCell ref="A44:M44"/>
    <mergeCell ref="A86:M86"/>
  </mergeCells>
  <printOptions horizontalCentered="1" verticalCentered="1"/>
  <pageMargins left="0.23622047244094491" right="0.19685039370078741" top="0.74803149606299213" bottom="0.19685039370078741" header="0.15748031496062992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72B2-4915-4DFE-A570-D3803EAFF50F}">
  <dimension ref="A1:B36"/>
  <sheetViews>
    <sheetView workbookViewId="0">
      <selection activeCell="O68" sqref="O68"/>
    </sheetView>
  </sheetViews>
  <sheetFormatPr defaultRowHeight="13.5" x14ac:dyDescent="0.25"/>
  <cols>
    <col min="1" max="1" width="36.140625" style="7" bestFit="1" customWidth="1"/>
    <col min="2" max="2" width="115" style="7" bestFit="1" customWidth="1"/>
    <col min="3" max="16384" width="9.140625" style="7"/>
  </cols>
  <sheetData>
    <row r="1" spans="1:2" x14ac:dyDescent="0.25">
      <c r="A1" s="105" t="s">
        <v>72</v>
      </c>
      <c r="B1" s="105"/>
    </row>
    <row r="2" spans="1:2" x14ac:dyDescent="0.25">
      <c r="A2" s="60" t="s">
        <v>14</v>
      </c>
      <c r="B2" s="59" t="s">
        <v>62</v>
      </c>
    </row>
    <row r="3" spans="1:2" x14ac:dyDescent="0.25">
      <c r="A3" s="60" t="s">
        <v>15</v>
      </c>
      <c r="B3" s="59" t="s">
        <v>41</v>
      </c>
    </row>
    <row r="4" spans="1:2" x14ac:dyDescent="0.25">
      <c r="A4" s="60" t="s">
        <v>74</v>
      </c>
      <c r="B4" s="59" t="s">
        <v>42</v>
      </c>
    </row>
    <row r="5" spans="1:2" x14ac:dyDescent="0.25">
      <c r="A5" s="60" t="s">
        <v>38</v>
      </c>
      <c r="B5" s="59" t="s">
        <v>43</v>
      </c>
    </row>
    <row r="6" spans="1:2" x14ac:dyDescent="0.25">
      <c r="A6" s="60" t="s">
        <v>75</v>
      </c>
      <c r="B6" s="59" t="s">
        <v>80</v>
      </c>
    </row>
    <row r="7" spans="1:2" x14ac:dyDescent="0.25">
      <c r="A7" s="60" t="s">
        <v>40</v>
      </c>
      <c r="B7" s="59" t="s">
        <v>73</v>
      </c>
    </row>
    <row r="8" spans="1:2" x14ac:dyDescent="0.25">
      <c r="A8" s="60" t="s">
        <v>39</v>
      </c>
      <c r="B8" s="59" t="s">
        <v>44</v>
      </c>
    </row>
    <row r="9" spans="1:2" x14ac:dyDescent="0.25">
      <c r="A9" s="60" t="s">
        <v>81</v>
      </c>
      <c r="B9" s="59" t="s">
        <v>86</v>
      </c>
    </row>
    <row r="10" spans="1:2" x14ac:dyDescent="0.25">
      <c r="A10" s="60" t="s">
        <v>88</v>
      </c>
      <c r="B10" s="59" t="s">
        <v>43</v>
      </c>
    </row>
    <row r="11" spans="1:2" x14ac:dyDescent="0.25">
      <c r="A11" s="60" t="s">
        <v>36</v>
      </c>
      <c r="B11" s="59" t="s">
        <v>63</v>
      </c>
    </row>
    <row r="12" spans="1:2" x14ac:dyDescent="0.25">
      <c r="A12" s="60" t="s">
        <v>16</v>
      </c>
      <c r="B12" s="59" t="s">
        <v>45</v>
      </c>
    </row>
    <row r="13" spans="1:2" x14ac:dyDescent="0.25">
      <c r="A13" s="60" t="s">
        <v>17</v>
      </c>
      <c r="B13" s="59" t="s">
        <v>46</v>
      </c>
    </row>
    <row r="14" spans="1:2" x14ac:dyDescent="0.25">
      <c r="A14" s="60" t="s">
        <v>18</v>
      </c>
      <c r="B14" s="59" t="s">
        <v>64</v>
      </c>
    </row>
    <row r="15" spans="1:2" x14ac:dyDescent="0.25">
      <c r="A15" s="60" t="s">
        <v>37</v>
      </c>
      <c r="B15" s="59" t="s">
        <v>65</v>
      </c>
    </row>
    <row r="16" spans="1:2" x14ac:dyDescent="0.25">
      <c r="A16" s="60" t="s">
        <v>19</v>
      </c>
      <c r="B16" s="59" t="s">
        <v>47</v>
      </c>
    </row>
    <row r="17" spans="1:2" x14ac:dyDescent="0.25">
      <c r="A17" s="60" t="s">
        <v>30</v>
      </c>
      <c r="B17" s="59" t="s">
        <v>66</v>
      </c>
    </row>
    <row r="18" spans="1:2" x14ac:dyDescent="0.25">
      <c r="A18" s="60" t="s">
        <v>20</v>
      </c>
      <c r="B18" s="59" t="s">
        <v>48</v>
      </c>
    </row>
    <row r="19" spans="1:2" x14ac:dyDescent="0.25">
      <c r="A19" s="60" t="s">
        <v>49</v>
      </c>
      <c r="B19" s="59" t="s">
        <v>52</v>
      </c>
    </row>
    <row r="20" spans="1:2" x14ac:dyDescent="0.25">
      <c r="A20" s="60" t="s">
        <v>50</v>
      </c>
      <c r="B20" s="59" t="s">
        <v>53</v>
      </c>
    </row>
    <row r="21" spans="1:2" x14ac:dyDescent="0.25">
      <c r="A21" s="60" t="s">
        <v>51</v>
      </c>
      <c r="B21" s="59" t="s">
        <v>54</v>
      </c>
    </row>
    <row r="22" spans="1:2" x14ac:dyDescent="0.25">
      <c r="A22" s="60" t="s">
        <v>21</v>
      </c>
      <c r="B22" s="59" t="s">
        <v>55</v>
      </c>
    </row>
    <row r="23" spans="1:2" x14ac:dyDescent="0.25">
      <c r="A23" s="60" t="s">
        <v>85</v>
      </c>
      <c r="B23" s="59" t="s">
        <v>67</v>
      </c>
    </row>
    <row r="24" spans="1:2" x14ac:dyDescent="0.25">
      <c r="A24" s="60" t="s">
        <v>22</v>
      </c>
      <c r="B24" s="59" t="s">
        <v>56</v>
      </c>
    </row>
    <row r="25" spans="1:2" x14ac:dyDescent="0.25">
      <c r="A25" s="60" t="s">
        <v>32</v>
      </c>
      <c r="B25" s="59" t="s">
        <v>58</v>
      </c>
    </row>
    <row r="26" spans="1:2" x14ac:dyDescent="0.25">
      <c r="A26" s="60" t="s">
        <v>34</v>
      </c>
      <c r="B26" s="59" t="s">
        <v>59</v>
      </c>
    </row>
    <row r="27" spans="1:2" x14ac:dyDescent="0.25">
      <c r="A27" s="60" t="s">
        <v>25</v>
      </c>
      <c r="B27" s="59" t="s">
        <v>57</v>
      </c>
    </row>
    <row r="28" spans="1:2" x14ac:dyDescent="0.25">
      <c r="A28" s="60" t="s">
        <v>23</v>
      </c>
      <c r="B28" s="59" t="s">
        <v>68</v>
      </c>
    </row>
    <row r="29" spans="1:2" x14ac:dyDescent="0.25">
      <c r="A29" s="60" t="s">
        <v>33</v>
      </c>
      <c r="B29" s="59" t="s">
        <v>60</v>
      </c>
    </row>
    <row r="30" spans="1:2" x14ac:dyDescent="0.25">
      <c r="A30" s="60" t="s">
        <v>29</v>
      </c>
      <c r="B30" s="59" t="s">
        <v>61</v>
      </c>
    </row>
    <row r="31" spans="1:2" x14ac:dyDescent="0.25">
      <c r="A31" s="60" t="s">
        <v>26</v>
      </c>
      <c r="B31" s="59" t="s">
        <v>69</v>
      </c>
    </row>
    <row r="32" spans="1:2" x14ac:dyDescent="0.25">
      <c r="A32" s="60" t="s">
        <v>27</v>
      </c>
      <c r="B32" s="59" t="s">
        <v>70</v>
      </c>
    </row>
    <row r="33" spans="1:2" x14ac:dyDescent="0.25">
      <c r="A33" s="60" t="s">
        <v>24</v>
      </c>
      <c r="B33" s="59" t="s">
        <v>71</v>
      </c>
    </row>
    <row r="34" spans="1:2" ht="5.25" customHeight="1" x14ac:dyDescent="0.25"/>
    <row r="35" spans="1:2" x14ac:dyDescent="0.25">
      <c r="A35" s="65" t="s">
        <v>90</v>
      </c>
    </row>
    <row r="36" spans="1:2" x14ac:dyDescent="0.25">
      <c r="A36" s="65" t="s">
        <v>89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2025</vt:lpstr>
      <vt:lpstr>Notas explicativas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Rios Cravo</dc:creator>
  <cp:lastModifiedBy>Marcelo Rios Cravo</cp:lastModifiedBy>
  <cp:lastPrinted>2025-01-31T16:48:53Z</cp:lastPrinted>
  <dcterms:created xsi:type="dcterms:W3CDTF">2025-01-30T15:55:06Z</dcterms:created>
  <dcterms:modified xsi:type="dcterms:W3CDTF">2025-05-02T12:58:46Z</dcterms:modified>
</cp:coreProperties>
</file>