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y\Desktop\"/>
    </mc:Choice>
  </mc:AlternateContent>
  <xr:revisionPtr revIDLastSave="0" documentId="8_{35332216-51A7-4439-BE1D-8F796708632C}" xr6:coauthVersionLast="47" xr6:coauthVersionMax="47" xr10:uidLastSave="{00000000-0000-0000-0000-000000000000}"/>
  <bookViews>
    <workbookView xWindow="-25755" yWindow="3030" windowWidth="21600" windowHeight="11295" xr2:uid="{F06EFDF7-39C8-4B53-BD23-38BF48C6533E}"/>
  </bookViews>
  <sheets>
    <sheet name="Planilh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4" i="1" l="1"/>
  <c r="L124" i="1"/>
  <c r="K124" i="1"/>
  <c r="J124" i="1"/>
  <c r="I124" i="1"/>
  <c r="H124" i="1"/>
  <c r="G124" i="1"/>
  <c r="F124" i="1"/>
  <c r="E124" i="1"/>
  <c r="D124" i="1"/>
  <c r="B124" i="1"/>
  <c r="A124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N122" i="1" s="1"/>
  <c r="A122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N121" i="1" s="1"/>
  <c r="A121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M119" i="1"/>
  <c r="L119" i="1"/>
  <c r="K119" i="1"/>
  <c r="J119" i="1"/>
  <c r="I119" i="1"/>
  <c r="H119" i="1"/>
  <c r="G119" i="1"/>
  <c r="F119" i="1"/>
  <c r="E119" i="1"/>
  <c r="D119" i="1"/>
  <c r="A119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M117" i="1"/>
  <c r="L117" i="1"/>
  <c r="K117" i="1"/>
  <c r="J117" i="1"/>
  <c r="I117" i="1"/>
  <c r="H117" i="1"/>
  <c r="G117" i="1"/>
  <c r="F117" i="1"/>
  <c r="E117" i="1"/>
  <c r="D117" i="1"/>
  <c r="A117" i="1"/>
  <c r="M116" i="1"/>
  <c r="L116" i="1"/>
  <c r="K116" i="1"/>
  <c r="J116" i="1"/>
  <c r="I116" i="1"/>
  <c r="H116" i="1"/>
  <c r="G116" i="1"/>
  <c r="E116" i="1"/>
  <c r="D116" i="1"/>
  <c r="A116" i="1"/>
  <c r="A115" i="1"/>
  <c r="N114" i="1"/>
  <c r="A114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N112" i="1"/>
  <c r="A112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N110" i="1"/>
  <c r="A110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N108" i="1"/>
  <c r="A108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N106" i="1"/>
  <c r="A106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M104" i="1"/>
  <c r="L104" i="1"/>
  <c r="K104" i="1"/>
  <c r="J104" i="1"/>
  <c r="I104" i="1"/>
  <c r="H104" i="1"/>
  <c r="G104" i="1"/>
  <c r="F104" i="1"/>
  <c r="E104" i="1"/>
  <c r="D104" i="1"/>
  <c r="C104" i="1"/>
  <c r="N104" i="1" s="1"/>
  <c r="B104" i="1"/>
  <c r="A104" i="1"/>
  <c r="L103" i="1"/>
  <c r="C103" i="1"/>
  <c r="B103" i="1"/>
  <c r="A103" i="1"/>
  <c r="H102" i="1"/>
  <c r="F102" i="1"/>
  <c r="A102" i="1"/>
  <c r="A101" i="1"/>
  <c r="A100" i="1"/>
  <c r="A99" i="1"/>
  <c r="A98" i="1"/>
  <c r="A97" i="1"/>
  <c r="A96" i="1"/>
  <c r="A95" i="1"/>
  <c r="A94" i="1"/>
  <c r="A93" i="1"/>
  <c r="A92" i="1"/>
  <c r="A91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88" i="1"/>
  <c r="N86" i="1"/>
  <c r="C82" i="1"/>
  <c r="N82" i="1" s="1"/>
  <c r="A82" i="1"/>
  <c r="N81" i="1"/>
  <c r="A81" i="1"/>
  <c r="N80" i="1"/>
  <c r="A80" i="1"/>
  <c r="N79" i="1"/>
  <c r="A79" i="1"/>
  <c r="N78" i="1"/>
  <c r="A78" i="1"/>
  <c r="C77" i="1"/>
  <c r="B77" i="1"/>
  <c r="N77" i="1" s="1"/>
  <c r="A77" i="1"/>
  <c r="A76" i="1"/>
  <c r="C75" i="1"/>
  <c r="B75" i="1"/>
  <c r="N75" i="1" s="1"/>
  <c r="A75" i="1"/>
  <c r="C74" i="1"/>
  <c r="B74" i="1"/>
  <c r="A74" i="1"/>
  <c r="M73" i="1"/>
  <c r="L73" i="1"/>
  <c r="L56" i="1" s="1"/>
  <c r="K73" i="1"/>
  <c r="J73" i="1"/>
  <c r="J55" i="1" s="1"/>
  <c r="I73" i="1"/>
  <c r="H73" i="1"/>
  <c r="H56" i="1" s="1"/>
  <c r="G73" i="1"/>
  <c r="G56" i="1" s="1"/>
  <c r="F73" i="1"/>
  <c r="F55" i="1" s="1"/>
  <c r="E73" i="1"/>
  <c r="D73" i="1"/>
  <c r="A73" i="1"/>
  <c r="N72" i="1"/>
  <c r="A72" i="1"/>
  <c r="N71" i="1"/>
  <c r="A71" i="1"/>
  <c r="N70" i="1"/>
  <c r="A70" i="1"/>
  <c r="N69" i="1"/>
  <c r="A69" i="1"/>
  <c r="N68" i="1"/>
  <c r="A68" i="1"/>
  <c r="N67" i="1"/>
  <c r="A67" i="1"/>
  <c r="N66" i="1"/>
  <c r="A66" i="1"/>
  <c r="N65" i="1"/>
  <c r="A65" i="1"/>
  <c r="N64" i="1"/>
  <c r="A64" i="1"/>
  <c r="N63" i="1"/>
  <c r="A63" i="1"/>
  <c r="N62" i="1"/>
  <c r="A62" i="1"/>
  <c r="C61" i="1"/>
  <c r="B61" i="1"/>
  <c r="N61" i="1" s="1"/>
  <c r="A61" i="1"/>
  <c r="M60" i="1"/>
  <c r="M102" i="1" s="1"/>
  <c r="L60" i="1"/>
  <c r="K60" i="1"/>
  <c r="J60" i="1"/>
  <c r="J102" i="1" s="1"/>
  <c r="I60" i="1"/>
  <c r="H60" i="1"/>
  <c r="G60" i="1"/>
  <c r="E60" i="1"/>
  <c r="D60" i="1"/>
  <c r="C60" i="1"/>
  <c r="B60" i="1"/>
  <c r="A60" i="1"/>
  <c r="A59" i="1"/>
  <c r="M58" i="1"/>
  <c r="L58" i="1"/>
  <c r="K58" i="1"/>
  <c r="J58" i="1"/>
  <c r="J100" i="1" s="1"/>
  <c r="I58" i="1"/>
  <c r="H58" i="1"/>
  <c r="H100" i="1" s="1"/>
  <c r="G58" i="1"/>
  <c r="F58" i="1"/>
  <c r="E58" i="1"/>
  <c r="D58" i="1"/>
  <c r="D56" i="1" s="1"/>
  <c r="C58" i="1"/>
  <c r="B58" i="1"/>
  <c r="A58" i="1"/>
  <c r="M57" i="1"/>
  <c r="M59" i="1" s="1"/>
  <c r="L57" i="1"/>
  <c r="L46" i="1" s="1"/>
  <c r="K57" i="1"/>
  <c r="K59" i="1" s="1"/>
  <c r="J57" i="1"/>
  <c r="I57" i="1"/>
  <c r="I59" i="1" s="1"/>
  <c r="H57" i="1"/>
  <c r="H46" i="1" s="1"/>
  <c r="G57" i="1"/>
  <c r="G59" i="1" s="1"/>
  <c r="F57" i="1"/>
  <c r="F46" i="1" s="1"/>
  <c r="E57" i="1"/>
  <c r="E59" i="1" s="1"/>
  <c r="D57" i="1"/>
  <c r="C57" i="1"/>
  <c r="C59" i="1" s="1"/>
  <c r="B57" i="1"/>
  <c r="A57" i="1"/>
  <c r="A56" i="1"/>
  <c r="A55" i="1"/>
  <c r="A54" i="1"/>
  <c r="A53" i="1"/>
  <c r="M52" i="1"/>
  <c r="L52" i="1"/>
  <c r="K52" i="1"/>
  <c r="J52" i="1"/>
  <c r="J94" i="1" s="1"/>
  <c r="I52" i="1"/>
  <c r="H52" i="1"/>
  <c r="G52" i="1"/>
  <c r="F52" i="1"/>
  <c r="F94" i="1" s="1"/>
  <c r="E52" i="1"/>
  <c r="D52" i="1"/>
  <c r="D94" i="1" s="1"/>
  <c r="C52" i="1"/>
  <c r="B52" i="1"/>
  <c r="B94" i="1" s="1"/>
  <c r="A52" i="1"/>
  <c r="A51" i="1"/>
  <c r="H50" i="1"/>
  <c r="A50" i="1"/>
  <c r="M49" i="1"/>
  <c r="M50" i="1" s="1"/>
  <c r="L49" i="1"/>
  <c r="L50" i="1" s="1"/>
  <c r="K49" i="1"/>
  <c r="K50" i="1" s="1"/>
  <c r="J49" i="1"/>
  <c r="J50" i="1" s="1"/>
  <c r="I49" i="1"/>
  <c r="I50" i="1" s="1"/>
  <c r="H49" i="1"/>
  <c r="G49" i="1"/>
  <c r="G50" i="1" s="1"/>
  <c r="F49" i="1"/>
  <c r="F50" i="1" s="1"/>
  <c r="E49" i="1"/>
  <c r="E50" i="1" s="1"/>
  <c r="D49" i="1"/>
  <c r="D50" i="1" s="1"/>
  <c r="C49" i="1"/>
  <c r="C50" i="1" s="1"/>
  <c r="B49" i="1"/>
  <c r="B50" i="1" s="1"/>
  <c r="A49" i="1"/>
  <c r="N48" i="1"/>
  <c r="A48" i="1"/>
  <c r="N47" i="1"/>
  <c r="H47" i="1"/>
  <c r="A47" i="1"/>
  <c r="C46" i="1"/>
  <c r="A46" i="1"/>
  <c r="N40" i="1"/>
  <c r="N39" i="1"/>
  <c r="N38" i="1"/>
  <c r="N37" i="1"/>
  <c r="N36" i="1"/>
  <c r="C35" i="1"/>
  <c r="N35" i="1" s="1"/>
  <c r="B35" i="1"/>
  <c r="N34" i="1"/>
  <c r="C33" i="1"/>
  <c r="B33" i="1"/>
  <c r="B117" i="1" s="1"/>
  <c r="F32" i="1"/>
  <c r="C32" i="1"/>
  <c r="C31" i="1" s="1"/>
  <c r="B32" i="1"/>
  <c r="M31" i="1"/>
  <c r="L31" i="1"/>
  <c r="L115" i="1" s="1"/>
  <c r="K31" i="1"/>
  <c r="J31" i="1"/>
  <c r="J115" i="1" s="1"/>
  <c r="I31" i="1"/>
  <c r="H31" i="1"/>
  <c r="G31" i="1"/>
  <c r="E31" i="1"/>
  <c r="D31" i="1"/>
  <c r="D115" i="1" s="1"/>
  <c r="N30" i="1"/>
  <c r="N29" i="1"/>
  <c r="N28" i="1"/>
  <c r="N27" i="1"/>
  <c r="N26" i="1"/>
  <c r="N25" i="1"/>
  <c r="N24" i="1"/>
  <c r="N23" i="1"/>
  <c r="N22" i="1"/>
  <c r="N21" i="1"/>
  <c r="N20" i="1"/>
  <c r="C19" i="1"/>
  <c r="B19" i="1"/>
  <c r="L18" i="1"/>
  <c r="L102" i="1" s="1"/>
  <c r="K18" i="1"/>
  <c r="J18" i="1"/>
  <c r="I18" i="1"/>
  <c r="H18" i="1"/>
  <c r="G18" i="1"/>
  <c r="G102" i="1" s="1"/>
  <c r="F18" i="1"/>
  <c r="E18" i="1"/>
  <c r="E102" i="1" s="1"/>
  <c r="D18" i="1"/>
  <c r="C18" i="1"/>
  <c r="C102" i="1" s="1"/>
  <c r="B18" i="1"/>
  <c r="L17" i="1"/>
  <c r="M16" i="1"/>
  <c r="M100" i="1" s="1"/>
  <c r="L16" i="1"/>
  <c r="K16" i="1"/>
  <c r="J16" i="1"/>
  <c r="I16" i="1"/>
  <c r="H16" i="1"/>
  <c r="H14" i="1" s="1"/>
  <c r="G16" i="1"/>
  <c r="G100" i="1" s="1"/>
  <c r="F16" i="1"/>
  <c r="E16" i="1"/>
  <c r="D16" i="1"/>
  <c r="C16" i="1"/>
  <c r="C100" i="1" s="1"/>
  <c r="B16" i="1"/>
  <c r="M15" i="1"/>
  <c r="M99" i="1" s="1"/>
  <c r="L15" i="1"/>
  <c r="K15" i="1"/>
  <c r="K99" i="1" s="1"/>
  <c r="J15" i="1"/>
  <c r="I15" i="1"/>
  <c r="I17" i="1" s="1"/>
  <c r="H15" i="1"/>
  <c r="H13" i="1" s="1"/>
  <c r="G15" i="1"/>
  <c r="F15" i="1"/>
  <c r="F17" i="1" s="1"/>
  <c r="E15" i="1"/>
  <c r="D15" i="1"/>
  <c r="C15" i="1"/>
  <c r="B15" i="1"/>
  <c r="G14" i="1"/>
  <c r="E14" i="1"/>
  <c r="D14" i="1"/>
  <c r="D13" i="1"/>
  <c r="M10" i="1"/>
  <c r="M94" i="1" s="1"/>
  <c r="L10" i="1"/>
  <c r="K10" i="1"/>
  <c r="J10" i="1"/>
  <c r="I10" i="1"/>
  <c r="I94" i="1" s="1"/>
  <c r="H10" i="1"/>
  <c r="G10" i="1"/>
  <c r="F10" i="1"/>
  <c r="E10" i="1"/>
  <c r="D10" i="1"/>
  <c r="C10" i="1"/>
  <c r="B10" i="1"/>
  <c r="M8" i="1"/>
  <c r="K8" i="1"/>
  <c r="I8" i="1"/>
  <c r="G8" i="1"/>
  <c r="E8" i="1"/>
  <c r="C8" i="1"/>
  <c r="M7" i="1"/>
  <c r="M91" i="1" s="1"/>
  <c r="L7" i="1"/>
  <c r="K7" i="1"/>
  <c r="K91" i="1" s="1"/>
  <c r="J7" i="1"/>
  <c r="I7" i="1"/>
  <c r="H7" i="1"/>
  <c r="G7" i="1"/>
  <c r="F7" i="1"/>
  <c r="E7" i="1"/>
  <c r="D7" i="1"/>
  <c r="C7" i="1"/>
  <c r="B7" i="1"/>
  <c r="N6" i="1"/>
  <c r="N5" i="1"/>
  <c r="M4" i="1"/>
  <c r="K4" i="1"/>
  <c r="G4" i="1"/>
  <c r="E4" i="1"/>
  <c r="C4" i="1"/>
  <c r="F51" i="1" l="1"/>
  <c r="F53" i="1" s="1"/>
  <c r="F54" i="1" s="1"/>
  <c r="K55" i="1"/>
  <c r="E91" i="1"/>
  <c r="F59" i="1"/>
  <c r="N120" i="1"/>
  <c r="H59" i="1"/>
  <c r="M55" i="1"/>
  <c r="G91" i="1"/>
  <c r="L14" i="1"/>
  <c r="M46" i="1"/>
  <c r="N113" i="1"/>
  <c r="I102" i="1"/>
  <c r="H94" i="1"/>
  <c r="J56" i="1"/>
  <c r="B100" i="1"/>
  <c r="N60" i="1"/>
  <c r="N111" i="1"/>
  <c r="C119" i="1"/>
  <c r="L13" i="1"/>
  <c r="L100" i="1"/>
  <c r="I55" i="1"/>
  <c r="C91" i="1"/>
  <c r="E46" i="1"/>
  <c r="H55" i="1"/>
  <c r="C94" i="1"/>
  <c r="N94" i="1" s="1"/>
  <c r="I46" i="1"/>
  <c r="J14" i="1"/>
  <c r="K46" i="1"/>
  <c r="E94" i="1"/>
  <c r="E100" i="1"/>
  <c r="I91" i="1"/>
  <c r="G94" i="1"/>
  <c r="C99" i="1"/>
  <c r="C88" i="1" s="1"/>
  <c r="B119" i="1"/>
  <c r="N119" i="1" s="1"/>
  <c r="C116" i="1"/>
  <c r="N103" i="1"/>
  <c r="N109" i="1"/>
  <c r="N10" i="1"/>
  <c r="G46" i="1"/>
  <c r="L94" i="1"/>
  <c r="F56" i="1"/>
  <c r="C117" i="1"/>
  <c r="N117" i="1" s="1"/>
  <c r="N90" i="1"/>
  <c r="N123" i="1"/>
  <c r="E55" i="1"/>
  <c r="J13" i="1"/>
  <c r="N89" i="1"/>
  <c r="K102" i="1"/>
  <c r="D102" i="1"/>
  <c r="N107" i="1"/>
  <c r="E99" i="1"/>
  <c r="I100" i="1"/>
  <c r="N105" i="1"/>
  <c r="N118" i="1"/>
  <c r="I4" i="1"/>
  <c r="K94" i="1"/>
  <c r="G99" i="1"/>
  <c r="G101" i="1" s="1"/>
  <c r="K100" i="1"/>
  <c r="N19" i="1"/>
  <c r="H115" i="1"/>
  <c r="H97" i="1" s="1"/>
  <c r="N50" i="1"/>
  <c r="B51" i="1"/>
  <c r="L51" i="1"/>
  <c r="L53" i="1" s="1"/>
  <c r="L54" i="1" s="1"/>
  <c r="J51" i="1"/>
  <c r="J53" i="1"/>
  <c r="J54" i="1" s="1"/>
  <c r="M14" i="1"/>
  <c r="J98" i="1"/>
  <c r="D51" i="1"/>
  <c r="D53" i="1" s="1"/>
  <c r="D54" i="1" s="1"/>
  <c r="D46" i="1"/>
  <c r="D59" i="1"/>
  <c r="D55" i="1"/>
  <c r="C115" i="1"/>
  <c r="C13" i="1"/>
  <c r="L98" i="1"/>
  <c r="H51" i="1"/>
  <c r="H53" i="1" s="1"/>
  <c r="H54" i="1" s="1"/>
  <c r="N57" i="1"/>
  <c r="N46" i="1" s="1"/>
  <c r="D8" i="1"/>
  <c r="D91" i="1"/>
  <c r="I51" i="1"/>
  <c r="I53" i="1" s="1"/>
  <c r="I54" i="1" s="1"/>
  <c r="B4" i="1"/>
  <c r="B99" i="1"/>
  <c r="C14" i="1"/>
  <c r="I115" i="1"/>
  <c r="I13" i="1"/>
  <c r="F8" i="1"/>
  <c r="F91" i="1"/>
  <c r="K115" i="1"/>
  <c r="K13" i="1"/>
  <c r="N33" i="1"/>
  <c r="K51" i="1"/>
  <c r="K53" i="1" s="1"/>
  <c r="K54" i="1" s="1"/>
  <c r="H88" i="1"/>
  <c r="C11" i="1"/>
  <c r="C92" i="1"/>
  <c r="C9" i="1"/>
  <c r="B17" i="1"/>
  <c r="H8" i="1"/>
  <c r="H91" i="1"/>
  <c r="E92" i="1"/>
  <c r="E9" i="1"/>
  <c r="D99" i="1"/>
  <c r="D4" i="1"/>
  <c r="L99" i="1"/>
  <c r="L4" i="1"/>
  <c r="D17" i="1"/>
  <c r="M13" i="1"/>
  <c r="M115" i="1"/>
  <c r="E51" i="1"/>
  <c r="E53" i="1" s="1"/>
  <c r="E54" i="1" s="1"/>
  <c r="M51" i="1"/>
  <c r="M53" i="1" s="1"/>
  <c r="M54" i="1" s="1"/>
  <c r="N52" i="1"/>
  <c r="G92" i="1"/>
  <c r="G9" i="1"/>
  <c r="I14" i="1"/>
  <c r="E88" i="1"/>
  <c r="E101" i="1"/>
  <c r="M88" i="1"/>
  <c r="M101" i="1"/>
  <c r="N18" i="1"/>
  <c r="E13" i="1"/>
  <c r="E115" i="1"/>
  <c r="N32" i="1"/>
  <c r="B31" i="1"/>
  <c r="B116" i="1"/>
  <c r="N116" i="1" s="1"/>
  <c r="N49" i="1"/>
  <c r="M92" i="1"/>
  <c r="M9" i="1"/>
  <c r="M11" i="1" s="1"/>
  <c r="H4" i="1"/>
  <c r="H99" i="1"/>
  <c r="H101" i="1" s="1"/>
  <c r="L8" i="1"/>
  <c r="L91" i="1"/>
  <c r="N7" i="1"/>
  <c r="J4" i="1"/>
  <c r="J99" i="1"/>
  <c r="C51" i="1"/>
  <c r="C53" i="1" s="1"/>
  <c r="C54" i="1" s="1"/>
  <c r="K101" i="1"/>
  <c r="K88" i="1"/>
  <c r="B8" i="1"/>
  <c r="B91" i="1"/>
  <c r="J8" i="1"/>
  <c r="J91" i="1"/>
  <c r="I92" i="1"/>
  <c r="I9" i="1"/>
  <c r="I93" i="1" s="1"/>
  <c r="F99" i="1"/>
  <c r="F4" i="1"/>
  <c r="N15" i="1"/>
  <c r="N4" i="1" s="1"/>
  <c r="H17" i="1"/>
  <c r="G115" i="1"/>
  <c r="G13" i="1"/>
  <c r="K92" i="1"/>
  <c r="K9" i="1"/>
  <c r="K14" i="1"/>
  <c r="N16" i="1"/>
  <c r="J17" i="1"/>
  <c r="F116" i="1"/>
  <c r="F31" i="1"/>
  <c r="B46" i="1"/>
  <c r="B59" i="1"/>
  <c r="J46" i="1"/>
  <c r="J59" i="1"/>
  <c r="D100" i="1"/>
  <c r="D98" i="1" s="1"/>
  <c r="N58" i="1"/>
  <c r="C17" i="1"/>
  <c r="K17" i="1"/>
  <c r="G51" i="1"/>
  <c r="G53" i="1" s="1"/>
  <c r="G54" i="1" s="1"/>
  <c r="G55" i="1"/>
  <c r="I56" i="1"/>
  <c r="B73" i="1"/>
  <c r="N74" i="1"/>
  <c r="I99" i="1"/>
  <c r="I101" i="1" s="1"/>
  <c r="C73" i="1"/>
  <c r="E17" i="1"/>
  <c r="M17" i="1"/>
  <c r="K56" i="1"/>
  <c r="F100" i="1"/>
  <c r="B102" i="1"/>
  <c r="C124" i="1"/>
  <c r="N124" i="1" s="1"/>
  <c r="G17" i="1"/>
  <c r="E56" i="1"/>
  <c r="M56" i="1"/>
  <c r="L55" i="1"/>
  <c r="L59" i="1"/>
  <c r="G88" i="1" l="1"/>
  <c r="C101" i="1"/>
  <c r="N17" i="1"/>
  <c r="H98" i="1"/>
  <c r="N102" i="1"/>
  <c r="I11" i="1"/>
  <c r="H92" i="1"/>
  <c r="H9" i="1"/>
  <c r="H93" i="1" s="1"/>
  <c r="D92" i="1"/>
  <c r="D9" i="1"/>
  <c r="D93" i="1" s="1"/>
  <c r="D11" i="1"/>
  <c r="C97" i="1"/>
  <c r="C98" i="1"/>
  <c r="N73" i="1"/>
  <c r="B55" i="1"/>
  <c r="B56" i="1"/>
  <c r="J92" i="1"/>
  <c r="J9" i="1"/>
  <c r="J93" i="1" s="1"/>
  <c r="J101" i="1"/>
  <c r="J88" i="1"/>
  <c r="M93" i="1"/>
  <c r="B115" i="1"/>
  <c r="N31" i="1"/>
  <c r="B14" i="1"/>
  <c r="B13" i="1"/>
  <c r="L88" i="1"/>
  <c r="L101" i="1"/>
  <c r="I97" i="1"/>
  <c r="I98" i="1"/>
  <c r="I88" i="1"/>
  <c r="N8" i="1"/>
  <c r="B92" i="1"/>
  <c r="B9" i="1"/>
  <c r="M95" i="1"/>
  <c r="M12" i="1"/>
  <c r="M96" i="1" s="1"/>
  <c r="E98" i="1"/>
  <c r="E97" i="1"/>
  <c r="G93" i="1"/>
  <c r="M98" i="1"/>
  <c r="M97" i="1"/>
  <c r="D88" i="1"/>
  <c r="D101" i="1"/>
  <c r="B101" i="1"/>
  <c r="N101" i="1" s="1"/>
  <c r="N99" i="1"/>
  <c r="N88" i="1" s="1"/>
  <c r="B88" i="1"/>
  <c r="G97" i="1"/>
  <c r="G98" i="1"/>
  <c r="F88" i="1"/>
  <c r="F101" i="1"/>
  <c r="E93" i="1"/>
  <c r="N59" i="1"/>
  <c r="F14" i="1"/>
  <c r="F115" i="1"/>
  <c r="F13" i="1"/>
  <c r="I95" i="1"/>
  <c r="I12" i="1"/>
  <c r="I96" i="1" s="1"/>
  <c r="N100" i="1"/>
  <c r="G11" i="1"/>
  <c r="D97" i="1"/>
  <c r="C93" i="1"/>
  <c r="K97" i="1"/>
  <c r="K98" i="1"/>
  <c r="L97" i="1"/>
  <c r="N51" i="1"/>
  <c r="N91" i="1"/>
  <c r="K93" i="1"/>
  <c r="C55" i="1"/>
  <c r="C56" i="1"/>
  <c r="K11" i="1"/>
  <c r="L92" i="1"/>
  <c r="L9" i="1"/>
  <c r="L93" i="1" s="1"/>
  <c r="L11" i="1"/>
  <c r="E11" i="1"/>
  <c r="J97" i="1"/>
  <c r="C95" i="1"/>
  <c r="C12" i="1"/>
  <c r="C96" i="1" s="1"/>
  <c r="F92" i="1"/>
  <c r="F9" i="1"/>
  <c r="F93" i="1" s="1"/>
  <c r="B53" i="1"/>
  <c r="H11" i="1" l="1"/>
  <c r="G95" i="1"/>
  <c r="G12" i="1"/>
  <c r="G96" i="1" s="1"/>
  <c r="E95" i="1"/>
  <c r="E12" i="1"/>
  <c r="E96" i="1" s="1"/>
  <c r="B93" i="1"/>
  <c r="N93" i="1" s="1"/>
  <c r="N9" i="1"/>
  <c r="B54" i="1"/>
  <c r="N54" i="1" s="1"/>
  <c r="N53" i="1"/>
  <c r="N92" i="1"/>
  <c r="J11" i="1"/>
  <c r="F11" i="1"/>
  <c r="N14" i="1"/>
  <c r="N13" i="1"/>
  <c r="D95" i="1"/>
  <c r="D12" i="1"/>
  <c r="D96" i="1" s="1"/>
  <c r="L95" i="1"/>
  <c r="L12" i="1"/>
  <c r="L96" i="1" s="1"/>
  <c r="K95" i="1"/>
  <c r="K12" i="1"/>
  <c r="K96" i="1" s="1"/>
  <c r="F97" i="1"/>
  <c r="F98" i="1"/>
  <c r="B97" i="1"/>
  <c r="B98" i="1"/>
  <c r="N115" i="1"/>
  <c r="H12" i="1"/>
  <c r="H96" i="1" s="1"/>
  <c r="H95" i="1"/>
  <c r="B11" i="1"/>
  <c r="N56" i="1"/>
  <c r="N55" i="1"/>
  <c r="B12" i="1" l="1"/>
  <c r="B95" i="1"/>
  <c r="N11" i="1"/>
  <c r="F95" i="1"/>
  <c r="F12" i="1"/>
  <c r="F96" i="1" s="1"/>
  <c r="N97" i="1"/>
  <c r="N98" i="1"/>
  <c r="J12" i="1"/>
  <c r="J96" i="1" s="1"/>
  <c r="J95" i="1"/>
  <c r="N95" i="1" l="1"/>
  <c r="N12" i="1"/>
  <c r="B96" i="1"/>
  <c r="N96" i="1" s="1"/>
</calcChain>
</file>

<file path=xl/sharedStrings.xml><?xml version="1.0" encoding="utf-8"?>
<sst xmlns="http://schemas.openxmlformats.org/spreadsheetml/2006/main" count="84" uniqueCount="50">
  <si>
    <t>Dados Gerais - Consórcio Atlântico Sul</t>
  </si>
  <si>
    <t>Ano:2024</t>
  </si>
  <si>
    <t>Componentes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</si>
  <si>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</si>
  <si>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</si>
  <si>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</si>
  <si>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</si>
  <si>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</si>
  <si>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</si>
  <si>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</si>
  <si>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</si>
  <si>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</si>
  <si>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</si>
  <si>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</si>
  <si>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</si>
  <si>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</si>
  <si>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Custo Por KM  (R$/km)</t>
  </si>
  <si>
    <t>(1) Custo Total   (R$)</t>
  </si>
  <si>
    <t>Receita Arrecadada Efetiva (R$)</t>
  </si>
  <si>
    <t>Gerenciamento CETURB (5% da receita) (R$)</t>
  </si>
  <si>
    <t>(2) Receita Efetiva Líquida(R$)</t>
  </si>
  <si>
    <t>(3) % Evasão da receita (2,64%) (R$)</t>
  </si>
  <si>
    <t>(4) Receitas Acessórias (R$)</t>
  </si>
  <si>
    <t>Subsídio Tarifário = (1)-(2)-(3)-(4) (R$)</t>
  </si>
  <si>
    <t>Gerenciamento CETURB (5% do subsídio) (R$)</t>
  </si>
  <si>
    <t>IPK - Índice de passageiro por km</t>
  </si>
  <si>
    <t>Passageiro por Viagem</t>
  </si>
  <si>
    <t>Km Remunerada</t>
  </si>
  <si>
    <t>Viagens Remuneradas</t>
  </si>
  <si>
    <t>P.M.M - Percurso Médio Mensal</t>
  </si>
  <si>
    <t>Frota Total</t>
  </si>
  <si>
    <t xml:space="preserve">Idade Média </t>
  </si>
  <si>
    <t>Frota Operante</t>
  </si>
  <si>
    <t xml:space="preserve">Convencional   </t>
  </si>
  <si>
    <t>Articulado</t>
  </si>
  <si>
    <t>Micro</t>
  </si>
  <si>
    <t>Padron Elétrico</t>
  </si>
  <si>
    <t>Micro Transcol +Acessível</t>
  </si>
  <si>
    <t>Demanda Total</t>
  </si>
  <si>
    <t>Vale Transporte</t>
  </si>
  <si>
    <t>Cartão Cidadão</t>
  </si>
  <si>
    <t>Idoso Gratuito</t>
  </si>
  <si>
    <t>Passe Escolar (50%)</t>
  </si>
  <si>
    <t>Escolar Gratuito (100%)</t>
  </si>
  <si>
    <t>Deficiente Gratuito (100%)</t>
  </si>
  <si>
    <t>Integrado</t>
  </si>
  <si>
    <t>Passe Livre (Gratuito)</t>
  </si>
  <si>
    <t xml:space="preserve">Vale Especial </t>
  </si>
  <si>
    <t>Dados Gerais Consórcio Sudoeste</t>
  </si>
  <si>
    <t>Dados Gerais do Sistema Transcol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</si>
</sst>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5" formatCode="#,##0.0000_);[Red]\(#,##0.0000\)"/>
    <numFmt numFmtId="166" formatCode="_(* #,##0.0000_);_(* \(#,##0.0000\);_(* &quot;-&quot;??_);_(@_)"/>
    <numFmt numFmtId="167" formatCode="_(* #,##0.0_);_(* \(#,##0.0\);_(* &quot;-&quot;??_);_(@_)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ptos"/>
      <family val="2"/>
    </font>
    <font>
      <b/>
      <sz val="18"/>
      <name val="Aptos"/>
      <family val="2"/>
    </font>
    <font>
      <b/>
      <sz val="14"/>
      <name val="Aptos"/>
      <family val="2"/>
    </font>
    <font>
      <b/>
      <sz val="12"/>
      <name val="Aptos"/>
      <family val="2"/>
    </font>
    <font>
      <b/>
      <sz val="10"/>
      <name val="Aptos"/>
      <family val="2"/>
    </font>
    <font>
      <sz val="10"/>
      <color theme="1"/>
      <name val="Aptos"/>
      <family val="2"/>
    </font>
    <font>
      <b/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2" fillId="0" borderId="9" xfId="1" applyNumberFormat="1" applyFont="1" applyFill="1" applyBorder="1" applyAlignment="1">
      <alignment vertical="center"/>
    </xf>
    <xf numFmtId="40" fontId="6" fillId="0" borderId="8" xfId="0" applyNumberFormat="1" applyFont="1" applyBorder="1" applyAlignment="1">
      <alignment vertical="center"/>
    </xf>
    <xf numFmtId="165" fontId="2" fillId="0" borderId="9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/>
    </xf>
    <xf numFmtId="38" fontId="2" fillId="0" borderId="9" xfId="1" applyNumberFormat="1" applyFont="1" applyFill="1" applyBorder="1" applyAlignment="1">
      <alignment horizontal="center" vertical="center"/>
    </xf>
    <xf numFmtId="38" fontId="2" fillId="0" borderId="10" xfId="1" applyNumberFormat="1" applyFont="1" applyFill="1" applyBorder="1" applyAlignment="1">
      <alignment horizontal="center" vertical="center"/>
    </xf>
    <xf numFmtId="38" fontId="6" fillId="0" borderId="8" xfId="1" applyNumberFormat="1" applyFont="1" applyFill="1" applyBorder="1" applyAlignment="1">
      <alignment horizontal="center" vertical="center"/>
    </xf>
    <xf numFmtId="43" fontId="7" fillId="0" borderId="9" xfId="2" applyFont="1" applyBorder="1"/>
    <xf numFmtId="167" fontId="2" fillId="0" borderId="9" xfId="1" applyNumberFormat="1" applyFont="1" applyFill="1" applyBorder="1" applyAlignment="1">
      <alignment vertical="center"/>
    </xf>
    <xf numFmtId="167" fontId="2" fillId="0" borderId="10" xfId="1" applyNumberFormat="1" applyFont="1" applyFill="1" applyBorder="1" applyAlignment="1">
      <alignment vertical="center"/>
    </xf>
    <xf numFmtId="38" fontId="6" fillId="0" borderId="9" xfId="1" applyNumberFormat="1" applyFont="1" applyFill="1" applyBorder="1" applyAlignment="1">
      <alignment vertical="center"/>
    </xf>
    <xf numFmtId="38" fontId="6" fillId="0" borderId="8" xfId="0" applyNumberFormat="1" applyFont="1" applyBorder="1" applyAlignment="1">
      <alignment vertical="center"/>
    </xf>
    <xf numFmtId="40" fontId="2" fillId="0" borderId="10" xfId="1" applyNumberFormat="1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38" fontId="6" fillId="0" borderId="10" xfId="1" applyNumberFormat="1" applyFont="1" applyFill="1" applyBorder="1" applyAlignment="1">
      <alignment vertical="center"/>
    </xf>
    <xf numFmtId="38" fontId="6" fillId="0" borderId="8" xfId="0" applyNumberFormat="1" applyFont="1" applyBorder="1" applyAlignment="1">
      <alignment horizontal="right" vertical="center"/>
    </xf>
    <xf numFmtId="1" fontId="6" fillId="0" borderId="8" xfId="0" applyNumberFormat="1" applyFont="1" applyBorder="1" applyAlignment="1">
      <alignment horizontal="right" vertical="center"/>
    </xf>
    <xf numFmtId="168" fontId="6" fillId="0" borderId="8" xfId="1" applyNumberFormat="1" applyFont="1" applyFill="1" applyBorder="1" applyAlignment="1">
      <alignment vertical="center"/>
    </xf>
    <xf numFmtId="43" fontId="6" fillId="0" borderId="8" xfId="1" applyFont="1" applyFill="1" applyBorder="1" applyAlignment="1">
      <alignment vertical="center"/>
    </xf>
    <xf numFmtId="168" fontId="6" fillId="0" borderId="9" xfId="1" applyNumberFormat="1" applyFont="1" applyFill="1" applyBorder="1" applyAlignment="1">
      <alignment vertical="center"/>
    </xf>
    <xf numFmtId="168" fontId="6" fillId="0" borderId="10" xfId="1" applyNumberFormat="1" applyFont="1" applyFill="1" applyBorder="1" applyAlignment="1">
      <alignment vertical="center"/>
    </xf>
    <xf numFmtId="168" fontId="2" fillId="0" borderId="9" xfId="1" applyNumberFormat="1" applyFont="1" applyFill="1" applyBorder="1" applyAlignment="1">
      <alignment vertical="center"/>
    </xf>
    <xf numFmtId="168" fontId="2" fillId="0" borderId="10" xfId="1" applyNumberFormat="1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168" fontId="2" fillId="0" borderId="12" xfId="1" applyNumberFormat="1" applyFont="1" applyFill="1" applyBorder="1" applyAlignment="1">
      <alignment vertical="center"/>
    </xf>
    <xf numFmtId="168" fontId="2" fillId="0" borderId="13" xfId="1" applyNumberFormat="1" applyFont="1" applyFill="1" applyBorder="1" applyAlignment="1">
      <alignment vertical="center"/>
    </xf>
    <xf numFmtId="168" fontId="6" fillId="0" borderId="11" xfId="1" applyNumberFormat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168" fontId="2" fillId="0" borderId="15" xfId="1" applyNumberFormat="1" applyFont="1" applyFill="1" applyBorder="1" applyAlignment="1">
      <alignment vertical="center"/>
    </xf>
    <xf numFmtId="168" fontId="2" fillId="0" borderId="16" xfId="1" applyNumberFormat="1" applyFont="1" applyFill="1" applyBorder="1" applyAlignment="1">
      <alignment vertical="center"/>
    </xf>
    <xf numFmtId="168" fontId="6" fillId="0" borderId="14" xfId="1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168" fontId="2" fillId="0" borderId="18" xfId="1" applyNumberFormat="1" applyFont="1" applyFill="1" applyBorder="1" applyAlignment="1">
      <alignment vertical="center"/>
    </xf>
    <xf numFmtId="168" fontId="2" fillId="0" borderId="19" xfId="1" applyNumberFormat="1" applyFont="1" applyFill="1" applyBorder="1" applyAlignment="1">
      <alignment vertical="center"/>
    </xf>
    <xf numFmtId="168" fontId="6" fillId="0" borderId="17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168" fontId="8" fillId="0" borderId="0" xfId="1" applyNumberFormat="1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38" fontId="6" fillId="3" borderId="9" xfId="1" applyNumberFormat="1" applyFont="1" applyFill="1" applyBorder="1" applyAlignment="1">
      <alignment vertical="center"/>
    </xf>
    <xf numFmtId="40" fontId="2" fillId="3" borderId="9" xfId="1" applyNumberFormat="1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43" fontId="2" fillId="0" borderId="10" xfId="1" applyFont="1" applyFill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40" fontId="2" fillId="0" borderId="28" xfId="1" applyNumberFormat="1" applyFont="1" applyFill="1" applyBorder="1" applyAlignment="1">
      <alignment vertical="center"/>
    </xf>
    <xf numFmtId="165" fontId="2" fillId="0" borderId="28" xfId="1" applyNumberFormat="1" applyFont="1" applyFill="1" applyBorder="1" applyAlignment="1">
      <alignment horizontal="center" vertical="center"/>
    </xf>
    <xf numFmtId="165" fontId="6" fillId="0" borderId="8" xfId="1" applyNumberFormat="1" applyFont="1" applyFill="1" applyBorder="1" applyAlignment="1">
      <alignment horizontal="center" vertical="center"/>
    </xf>
    <xf numFmtId="43" fontId="2" fillId="0" borderId="28" xfId="1" applyFont="1" applyFill="1" applyBorder="1" applyAlignment="1">
      <alignment vertical="center"/>
    </xf>
    <xf numFmtId="40" fontId="6" fillId="0" borderId="9" xfId="1" applyNumberFormat="1" applyFont="1" applyFill="1" applyBorder="1" applyAlignment="1">
      <alignment horizontal="right" vertical="center"/>
    </xf>
    <xf numFmtId="40" fontId="6" fillId="0" borderId="10" xfId="1" applyNumberFormat="1" applyFont="1" applyFill="1" applyBorder="1" applyAlignment="1">
      <alignment horizontal="right" vertical="center"/>
    </xf>
    <xf numFmtId="40" fontId="6" fillId="0" borderId="28" xfId="1" applyNumberFormat="1" applyFont="1" applyFill="1" applyBorder="1" applyAlignment="1">
      <alignment horizontal="right" vertical="center"/>
    </xf>
    <xf numFmtId="40" fontId="8" fillId="0" borderId="9" xfId="1" applyNumberFormat="1" applyFont="1" applyFill="1" applyBorder="1" applyAlignment="1">
      <alignment horizontal="right" vertical="center"/>
    </xf>
    <xf numFmtId="40" fontId="8" fillId="0" borderId="10" xfId="1" applyNumberFormat="1" applyFont="1" applyFill="1" applyBorder="1" applyAlignment="1">
      <alignment horizontal="right" vertical="center"/>
    </xf>
    <xf numFmtId="40" fontId="8" fillId="0" borderId="28" xfId="1" applyNumberFormat="1" applyFont="1" applyFill="1" applyBorder="1" applyAlignment="1">
      <alignment horizontal="right" vertical="center"/>
    </xf>
    <xf numFmtId="38" fontId="8" fillId="0" borderId="9" xfId="1" applyNumberFormat="1" applyFont="1" applyFill="1" applyBorder="1" applyAlignment="1">
      <alignment horizontal="right" vertical="center"/>
    </xf>
    <xf numFmtId="168" fontId="6" fillId="0" borderId="28" xfId="1" applyNumberFormat="1" applyFont="1" applyFill="1" applyBorder="1" applyAlignment="1">
      <alignment vertical="center"/>
    </xf>
    <xf numFmtId="168" fontId="6" fillId="0" borderId="12" xfId="1" applyNumberFormat="1" applyFont="1" applyFill="1" applyBorder="1" applyAlignment="1">
      <alignment vertical="center"/>
    </xf>
    <xf numFmtId="168" fontId="6" fillId="0" borderId="13" xfId="1" applyNumberFormat="1" applyFont="1" applyFill="1" applyBorder="1" applyAlignment="1">
      <alignment vertical="center"/>
    </xf>
    <xf numFmtId="168" fontId="6" fillId="0" borderId="29" xfId="1" applyNumberFormat="1" applyFont="1" applyFill="1" applyBorder="1" applyAlignment="1">
      <alignment vertical="center"/>
    </xf>
    <xf numFmtId="168" fontId="6" fillId="0" borderId="18" xfId="1" applyNumberFormat="1" applyFont="1" applyFill="1" applyBorder="1" applyAlignment="1">
      <alignment vertical="center"/>
    </xf>
    <xf numFmtId="168" fontId="6" fillId="0" borderId="19" xfId="1" applyNumberFormat="1" applyFont="1" applyFill="1" applyBorder="1" applyAlignment="1">
      <alignment vertical="center"/>
    </xf>
    <xf numFmtId="168" fontId="6" fillId="0" borderId="30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 xr:uid="{47EF2B54-6722-408A-B624-CD945665AF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C&#226;mara%20de%20Compensa&#231;&#227;o%20Tarif&#225;ria\Subs&#237;dio%20Transcol%20Social%202024\Receita%20Alternativa%202024\RECEITA%20ALTERNATIVA%20TOTAL%202024\Receita%20Acumulada%202024.xlsx" TargetMode="External"/><Relationship Id="rId1" Type="http://schemas.openxmlformats.org/officeDocument/2006/relationships/externalLinkPath" Target="file:///V:\GECON\C&#226;mara%20de%20Compensa&#231;&#227;o%20Tarif&#225;ria\Subs&#237;dio%20Transcol%20Social%202024\Receita%20Alternativa%202024\RECEITA%20ALTERNATIVA%20TOTAL%202024\Receita%20Acumulada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ECON\Estatist\RESET24\OFER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ECON\Estatist\REOUT24\OFERT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ECON\Estatist\RENOV24\OFERT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ECON\Estatist\REDEZ24\OFERTA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4\2024-01-04%20-%20JANEIRO\2024-01-04%20-%20Composi&#231;&#227;o%20de%20Frota%20-%20CETURB.xlsm" TargetMode="External"/><Relationship Id="rId1" Type="http://schemas.openxmlformats.org/officeDocument/2006/relationships/externalLinkPath" Target="file:///V:\TROCAS\1%20PERMANENTE\MARCELO%20GECON\COMPOSI&#199;&#195;O%20DE%20FROTA\FROTA%202024\2024-01-04%20-%20JANEIRO\2024-01-04%20-%20Composi&#231;&#227;o%20de%20Frota%20-%20CETURB.xlsm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4\2024-02-01%20-%20FEVEREIRO\2024-02-01%20-%20Composi&#231;&#227;o%20de%20Frota%20-%20CETURB.xlsm" TargetMode="External"/><Relationship Id="rId1" Type="http://schemas.openxmlformats.org/officeDocument/2006/relationships/externalLinkPath" Target="file:///V:\TROCAS\1%20PERMANENTE\MARCELO%20GECON\COMPOSI&#199;&#195;O%20DE%20FROTA\FROTA%202024\2024-02-01%20-%20FEVEREIRO\2024-02-01%20-%20Composi&#231;&#227;o%20de%20Frota%20-%20CETURB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ECON\Estatist\REJUL24\Camara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4\2024-11-08%20-%20NOVEMBRO%20(TRANSCOL%20+)\2024-11-08%20-%20Composi&#231;&#227;o%20de%20Frota%20-%20CETURB.xlsm" TargetMode="External"/><Relationship Id="rId1" Type="http://schemas.openxmlformats.org/officeDocument/2006/relationships/externalLinkPath" Target="file:///V:\TROCAS\1%20PERMANENTE\MARCELO%20GECON\COMPOSI&#199;&#195;O%20DE%20FROTA\FROTA%202024\2024-11-08%20-%20NOVEMBRO%20(TRANSCOL%20+)\2024-11-08%20-%20Composi&#231;&#227;o%20de%20Frota%20-%20CETURB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ECON\Estatist\REJAN24\OFER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ECON\Estatist\REFEV24\OFER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ECON\Estatist\REMAR24\OFER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ECON\Estatist\REABR24\OFER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ECON\Estatist\REMAI24\OFER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ECON\Estatist\REJUN24\OFER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ECON\Estatist\REJUL24\OFER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ECON\Estatist\REAGO24\OFER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DADOS CCT JAN 23"/>
      <sheetName val="SUBSÍDIO JAN 23"/>
      <sheetName val="REMUN. TOTAL JAN 23"/>
      <sheetName val=" DADOS CCT FEV 23"/>
      <sheetName val="SUBSÍDIO FEV 23"/>
      <sheetName val="REMUN. TOTAL FEV 23"/>
      <sheetName val=" DADOS CCT MAR 23"/>
      <sheetName val="SUBSÍDIO MAR 23"/>
      <sheetName val="REMUN. TOTAL MAR 23"/>
      <sheetName val=" DADOS CCT ABR 23"/>
      <sheetName val="SUBSÍDIO ABR 23"/>
      <sheetName val="REMUN. TOTAL ABR 23"/>
      <sheetName val=" DADOS CCT MAI 23"/>
      <sheetName val="SUBSÍDIO MAI 23"/>
      <sheetName val="REMUN. TOTAL MAI 23"/>
      <sheetName val=" DADOS CCT JUN 23"/>
      <sheetName val="SUBSÍDIO JUN 23"/>
      <sheetName val="REMUN. TOTAL JUN 23"/>
      <sheetName val=" DADOS CCT JUL 23"/>
      <sheetName val="SUBSÍDIO JUL 23"/>
      <sheetName val="REMUN. TOTAL JUL 23"/>
      <sheetName val=" DADOS CCT AGO 23"/>
      <sheetName val="REMUN. ACUM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D7">
            <v>185437.58207971719</v>
          </cell>
        </row>
        <row r="8">
          <cell r="D8">
            <v>229004.31469444942</v>
          </cell>
        </row>
        <row r="9">
          <cell r="D9">
            <v>188321.45062115273</v>
          </cell>
        </row>
        <row r="10">
          <cell r="D10">
            <v>232335.34178134718</v>
          </cell>
        </row>
        <row r="11">
          <cell r="D11">
            <v>190182.3633563279</v>
          </cell>
        </row>
        <row r="12">
          <cell r="D12">
            <v>234401.39171242208</v>
          </cell>
        </row>
        <row r="13">
          <cell r="D13">
            <v>190223.5555698341</v>
          </cell>
        </row>
        <row r="14">
          <cell r="D14">
            <v>234088.78424516588</v>
          </cell>
        </row>
        <row r="15">
          <cell r="D15">
            <v>193026.8092109859</v>
          </cell>
        </row>
        <row r="16">
          <cell r="D16">
            <v>237318.90800443082</v>
          </cell>
        </row>
        <row r="17">
          <cell r="D17">
            <v>193940.26310876053</v>
          </cell>
        </row>
        <row r="18">
          <cell r="D18">
            <v>238257.25459519774</v>
          </cell>
        </row>
        <row r="19">
          <cell r="D19">
            <v>194358.99831863062</v>
          </cell>
        </row>
        <row r="20">
          <cell r="D20">
            <v>238702.41719491105</v>
          </cell>
        </row>
        <row r="21">
          <cell r="D21">
            <v>195162.24446214814</v>
          </cell>
        </row>
        <row r="22">
          <cell r="D22">
            <v>239639.63619931013</v>
          </cell>
        </row>
        <row r="23">
          <cell r="D23">
            <v>195373.51855182316</v>
          </cell>
        </row>
        <row r="24">
          <cell r="D24">
            <v>239600.55072213517</v>
          </cell>
        </row>
        <row r="25">
          <cell r="D25">
            <v>195528.05855594377</v>
          </cell>
        </row>
        <row r="26">
          <cell r="D26">
            <v>239467.30542634788</v>
          </cell>
        </row>
        <row r="27">
          <cell r="D27">
            <v>195576.31768085883</v>
          </cell>
        </row>
        <row r="28">
          <cell r="D28">
            <v>239382.74281080783</v>
          </cell>
        </row>
        <row r="29">
          <cell r="D29">
            <v>194592.87637009058</v>
          </cell>
        </row>
        <row r="30">
          <cell r="D30">
            <v>238210.95272990939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ROM Estatistica"/>
      <sheetName val="EMP"/>
      <sheetName val="FROID (2)"/>
      <sheetName val="RESUMO"/>
    </sheetNames>
    <sheetDataSet>
      <sheetData sheetId="0"/>
      <sheetData sheetId="1">
        <row r="7">
          <cell r="G7">
            <v>4244707.0900000008</v>
          </cell>
        </row>
        <row r="8">
          <cell r="G8">
            <v>4940749.5599999996</v>
          </cell>
        </row>
      </sheetData>
      <sheetData sheetId="2">
        <row r="5">
          <cell r="C5">
            <v>167287</v>
          </cell>
        </row>
        <row r="6">
          <cell r="C6">
            <v>162748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ROM Estatistica"/>
      <sheetName val="EMP"/>
      <sheetName val="FROID (2)"/>
      <sheetName val="RESUMO"/>
    </sheetNames>
    <sheetDataSet>
      <sheetData sheetId="0"/>
      <sheetData sheetId="1">
        <row r="7">
          <cell r="G7">
            <v>4361225.8899999997</v>
          </cell>
        </row>
        <row r="8">
          <cell r="G8">
            <v>5116238.25</v>
          </cell>
        </row>
      </sheetData>
      <sheetData sheetId="2">
        <row r="5">
          <cell r="C5">
            <v>171661.5</v>
          </cell>
        </row>
        <row r="6">
          <cell r="C6">
            <v>168347</v>
          </cell>
        </row>
      </sheetData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ROM Estatistica"/>
      <sheetName val="EMP"/>
      <sheetName val="FROID (2)"/>
      <sheetName val="RESUMO"/>
    </sheetNames>
    <sheetDataSet>
      <sheetData sheetId="0"/>
      <sheetData sheetId="1">
        <row r="7">
          <cell r="G7">
            <v>3951112.47</v>
          </cell>
        </row>
        <row r="8">
          <cell r="G8">
            <v>4673410.3099999996</v>
          </cell>
        </row>
      </sheetData>
      <sheetData sheetId="2">
        <row r="5">
          <cell r="C5">
            <v>152354</v>
          </cell>
        </row>
        <row r="6">
          <cell r="C6">
            <v>149438.5</v>
          </cell>
        </row>
      </sheetData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ROM Estatistica"/>
      <sheetName val="EMP"/>
      <sheetName val="FROID (2)"/>
      <sheetName val="RESUMO"/>
    </sheetNames>
    <sheetDataSet>
      <sheetData sheetId="0"/>
      <sheetData sheetId="1">
        <row r="7">
          <cell r="G7">
            <v>4078092.02</v>
          </cell>
        </row>
        <row r="8">
          <cell r="G8">
            <v>4870881.2800000003</v>
          </cell>
        </row>
      </sheetData>
      <sheetData sheetId="2">
        <row r="5">
          <cell r="C5">
            <v>157450</v>
          </cell>
        </row>
        <row r="6">
          <cell r="C6">
            <v>155858.5</v>
          </cell>
        </row>
      </sheetData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ÃO GEVIS"/>
      <sheetName val="2 - Cadastro de frota"/>
      <sheetName val="1 - Frota Operante GEPLA"/>
      <sheetName val="Aux"/>
    </sheetNames>
    <sheetDataSet>
      <sheetData sheetId="0">
        <row r="38">
          <cell r="K38">
            <v>7.9061728395061728</v>
          </cell>
        </row>
        <row r="70">
          <cell r="K70">
            <v>7.5476429287863587</v>
          </cell>
        </row>
        <row r="76">
          <cell r="K76">
            <v>7.7083563918096294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ÃO GEVIS"/>
      <sheetName val="2 - Cadastro de frota"/>
      <sheetName val="1 - Frota Operante GEPLA"/>
      <sheetName val="Aux"/>
    </sheetNames>
    <sheetDataSet>
      <sheetData sheetId="0">
        <row r="38">
          <cell r="K38">
            <v>7.5891758917589174</v>
          </cell>
        </row>
        <row r="70">
          <cell r="K70">
            <v>7.5448136958710981</v>
          </cell>
        </row>
        <row r="76">
          <cell r="K76">
            <v>7.5647840531561465</v>
          </cell>
        </row>
      </sheetData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ST"/>
      <sheetName val="REPREC"/>
      <sheetName val="RESUM"/>
    </sheetNames>
    <sheetDataSet>
      <sheetData sheetId="0">
        <row r="7">
          <cell r="D7">
            <v>51287085.280000001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Aux"/>
    </sheetNames>
    <sheetDataSet>
      <sheetData sheetId="0"/>
      <sheetData sheetId="1">
        <row r="119">
          <cell r="J119">
            <v>6.4336188436830835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ROM Estatistica"/>
      <sheetName val="EMP"/>
      <sheetName val="FROID (2)"/>
      <sheetName val="RESUMO"/>
    </sheetNames>
    <sheetDataSet>
      <sheetData sheetId="0"/>
      <sheetData sheetId="1">
        <row r="7">
          <cell r="G7">
            <v>4502115.3099999996</v>
          </cell>
        </row>
        <row r="8">
          <cell r="G8">
            <v>5299000.0200000005</v>
          </cell>
        </row>
      </sheetData>
      <sheetData sheetId="2">
        <row r="5">
          <cell r="C5">
            <v>176138.5</v>
          </cell>
        </row>
        <row r="6">
          <cell r="C6">
            <v>171468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ROM Estatistica"/>
      <sheetName val="EMP"/>
      <sheetName val="FROID (2)"/>
      <sheetName val="RESUMO"/>
    </sheetNames>
    <sheetDataSet>
      <sheetData sheetId="0"/>
      <sheetData sheetId="1">
        <row r="7">
          <cell r="G7">
            <v>4165161.56</v>
          </cell>
        </row>
        <row r="8">
          <cell r="G8">
            <v>4896977.66</v>
          </cell>
        </row>
      </sheetData>
      <sheetData sheetId="2">
        <row r="5">
          <cell r="C5">
            <v>162543</v>
          </cell>
        </row>
        <row r="6">
          <cell r="C6">
            <v>158198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ROM Estatistica"/>
      <sheetName val="EMP"/>
      <sheetName val="FROID (2)"/>
      <sheetName val="RESUMO"/>
    </sheetNames>
    <sheetDataSet>
      <sheetData sheetId="0"/>
      <sheetData sheetId="1">
        <row r="7">
          <cell r="G7">
            <v>4447699.26</v>
          </cell>
        </row>
        <row r="8">
          <cell r="G8">
            <v>5181163.75</v>
          </cell>
        </row>
      </sheetData>
      <sheetData sheetId="2">
        <row r="5">
          <cell r="C5">
            <v>173003</v>
          </cell>
        </row>
        <row r="6">
          <cell r="C6">
            <v>167236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ROM Estatistica"/>
      <sheetName val="EMP"/>
      <sheetName val="FROID (2)"/>
      <sheetName val="RESUMO"/>
    </sheetNames>
    <sheetDataSet>
      <sheetData sheetId="0"/>
      <sheetData sheetId="1">
        <row r="7">
          <cell r="G7">
            <v>4421222.28</v>
          </cell>
        </row>
        <row r="8">
          <cell r="G8">
            <v>5182784.75</v>
          </cell>
        </row>
      </sheetData>
      <sheetData sheetId="2">
        <row r="5">
          <cell r="C5">
            <v>171936</v>
          </cell>
        </row>
        <row r="6">
          <cell r="C6">
            <v>167720.5</v>
          </cell>
        </row>
      </sheetData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ROM Estatistica"/>
      <sheetName val="EMP"/>
      <sheetName val="FROID (2)"/>
      <sheetName val="RESUMO"/>
    </sheetNames>
    <sheetDataSet>
      <sheetData sheetId="0"/>
      <sheetData sheetId="1">
        <row r="7">
          <cell r="G7">
            <v>4498764.41</v>
          </cell>
        </row>
        <row r="8">
          <cell r="G8">
            <v>5250469.0299999993</v>
          </cell>
        </row>
      </sheetData>
      <sheetData sheetId="2">
        <row r="5">
          <cell r="C5">
            <v>174610.5</v>
          </cell>
        </row>
        <row r="6">
          <cell r="C6">
            <v>169582.5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ROM Estatistica"/>
      <sheetName val="EMP"/>
      <sheetName val="FROID (2)"/>
      <sheetName val="RESUMO"/>
    </sheetNames>
    <sheetDataSet>
      <sheetData sheetId="0"/>
      <sheetData sheetId="1">
        <row r="7">
          <cell r="G7">
            <v>4329807.6100000003</v>
          </cell>
        </row>
        <row r="8">
          <cell r="G8">
            <v>5070819.1900000004</v>
          </cell>
        </row>
      </sheetData>
      <sheetData sheetId="2">
        <row r="5">
          <cell r="C5">
            <v>168007.5</v>
          </cell>
        </row>
        <row r="6">
          <cell r="C6">
            <v>164058</v>
          </cell>
        </row>
      </sheetData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ROM Estatistica"/>
      <sheetName val="EMP"/>
      <sheetName val="FROID (2)"/>
      <sheetName val="RESUMO"/>
    </sheetNames>
    <sheetDataSet>
      <sheetData sheetId="0"/>
      <sheetData sheetId="1">
        <row r="7">
          <cell r="G7">
            <v>4576838.8500000006</v>
          </cell>
        </row>
        <row r="8">
          <cell r="G8">
            <v>5378710.9900000002</v>
          </cell>
        </row>
      </sheetData>
      <sheetData sheetId="2">
        <row r="5">
          <cell r="C5">
            <v>178090</v>
          </cell>
        </row>
        <row r="6">
          <cell r="C6">
            <v>174399.5</v>
          </cell>
        </row>
      </sheetData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ROM Estatistica"/>
      <sheetName val="EMP"/>
      <sheetName val="FROID (2)"/>
      <sheetName val="RESUMO"/>
    </sheetNames>
    <sheetDataSet>
      <sheetData sheetId="0"/>
      <sheetData sheetId="1">
        <row r="7">
          <cell r="G7">
            <v>4559498.3499999996</v>
          </cell>
        </row>
        <row r="8">
          <cell r="G8">
            <v>5310774.2699999996</v>
          </cell>
        </row>
      </sheetData>
      <sheetData sheetId="2">
        <row r="5">
          <cell r="C5">
            <v>177532</v>
          </cell>
        </row>
        <row r="6">
          <cell r="C6">
            <v>172938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68EE-8818-4341-BC6F-5B9B3F472E31}">
  <dimension ref="A1:N124"/>
  <sheetViews>
    <sheetView tabSelected="1" workbookViewId="0"/>
  </sheetViews>
  <sheetFormatPr defaultRowHeight="15" x14ac:dyDescent="0.25"/>
  <cols>
    <col min="1" max="1" width="40.5703125" bestFit="1" customWidth="1"/>
    <col min="2" max="13" width="12.85546875" bestFit="1" customWidth="1"/>
    <col min="14" max="14" width="15.4257812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.75" thickBot="1" x14ac:dyDescent="0.3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2" t="s">
        <v>1</v>
      </c>
    </row>
    <row r="3" spans="1:14" ht="16.5" thickBot="1" x14ac:dyDescent="0.3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6" t="s">
        <v>15</v>
      </c>
    </row>
    <row r="4" spans="1:14" x14ac:dyDescent="0.25">
      <c r="A4" s="7" t="s">
        <v>16</v>
      </c>
      <c r="B4" s="8">
        <f t="shared" ref="B4:N4" si="0">B5/B15</f>
        <v>8.9435649439196609</v>
      </c>
      <c r="C4" s="9">
        <f t="shared" si="0"/>
        <v>9.1326999618233291</v>
      </c>
      <c r="D4" s="9">
        <f t="shared" si="0"/>
        <v>9.1327001277509936</v>
      </c>
      <c r="E4" s="9">
        <f t="shared" si="0"/>
        <v>9.132699935186249</v>
      </c>
      <c r="F4" s="9">
        <f t="shared" si="0"/>
        <v>9.1327001606647809</v>
      </c>
      <c r="G4" s="9">
        <f t="shared" si="0"/>
        <v>9.1327002563977651</v>
      </c>
      <c r="H4" s="9">
        <f t="shared" si="0"/>
        <v>9.1327000228552944</v>
      </c>
      <c r="I4" s="9">
        <f t="shared" si="0"/>
        <v>9.1327026908563322</v>
      </c>
      <c r="J4" s="9">
        <f t="shared" si="0"/>
        <v>9.1249862190137598</v>
      </c>
      <c r="K4" s="9">
        <f t="shared" si="0"/>
        <v>9.1327001362912679</v>
      </c>
      <c r="L4" s="9">
        <f t="shared" si="0"/>
        <v>9.1326998899628897</v>
      </c>
      <c r="M4" s="9">
        <f t="shared" si="0"/>
        <v>9.1326998967522073</v>
      </c>
      <c r="N4" s="10">
        <f t="shared" si="0"/>
        <v>9.1157398889855976</v>
      </c>
    </row>
    <row r="5" spans="1:14" x14ac:dyDescent="0.25">
      <c r="A5" s="11" t="s">
        <v>17</v>
      </c>
      <c r="B5" s="12">
        <v>40264960.659999996</v>
      </c>
      <c r="C5" s="12">
        <v>38039170.82</v>
      </c>
      <c r="D5" s="12">
        <v>40619503.600000001</v>
      </c>
      <c r="E5" s="12">
        <v>40377696.43</v>
      </c>
      <c r="F5" s="12">
        <v>41085866.450000003</v>
      </c>
      <c r="G5" s="12">
        <v>39542835.07</v>
      </c>
      <c r="H5" s="12">
        <v>41798896.270000003</v>
      </c>
      <c r="I5" s="12">
        <v>41640542.850000001</v>
      </c>
      <c r="J5" s="12">
        <v>38732893.700000003</v>
      </c>
      <c r="K5" s="12">
        <v>39829768.280000001</v>
      </c>
      <c r="L5" s="12">
        <v>36084324.420000002</v>
      </c>
      <c r="M5" s="12">
        <v>37243990.57</v>
      </c>
      <c r="N5" s="13">
        <f t="shared" ref="N5:N12" si="1">SUM(B5:M5)</f>
        <v>475260449.12</v>
      </c>
    </row>
    <row r="6" spans="1:14" x14ac:dyDescent="0.25">
      <c r="A6" s="11" t="s">
        <v>18</v>
      </c>
      <c r="B6" s="12">
        <v>24696438.260000002</v>
      </c>
      <c r="C6" s="12">
        <v>25056730.550000001</v>
      </c>
      <c r="D6" s="12">
        <v>27180935.530000001</v>
      </c>
      <c r="E6" s="12">
        <v>27183181.550000001</v>
      </c>
      <c r="F6" s="12">
        <v>26772449.98</v>
      </c>
      <c r="G6" s="12">
        <v>25876892.27</v>
      </c>
      <c r="H6" s="12">
        <v>27454705.289999999</v>
      </c>
      <c r="I6" s="12">
        <v>27921150.539999999</v>
      </c>
      <c r="J6" s="12">
        <v>26448152.25</v>
      </c>
      <c r="K6" s="12">
        <v>27823041.469999999</v>
      </c>
      <c r="L6" s="12">
        <v>25400317.100000001</v>
      </c>
      <c r="M6" s="12">
        <v>24619398.940000001</v>
      </c>
      <c r="N6" s="13">
        <f t="shared" si="1"/>
        <v>316433393.73000002</v>
      </c>
    </row>
    <row r="7" spans="1:14" x14ac:dyDescent="0.25">
      <c r="A7" s="11" t="s">
        <v>19</v>
      </c>
      <c r="B7" s="12">
        <f>B6*0.05</f>
        <v>1234821.9130000002</v>
      </c>
      <c r="C7" s="12">
        <f t="shared" ref="C7:M7" si="2">C6*0.05</f>
        <v>1252836.5275000001</v>
      </c>
      <c r="D7" s="12">
        <f t="shared" si="2"/>
        <v>1359046.7765000002</v>
      </c>
      <c r="E7" s="12">
        <f t="shared" si="2"/>
        <v>1359159.0775000001</v>
      </c>
      <c r="F7" s="12">
        <f t="shared" si="2"/>
        <v>1338622.4990000001</v>
      </c>
      <c r="G7" s="12">
        <f t="shared" si="2"/>
        <v>1293844.6135</v>
      </c>
      <c r="H7" s="12">
        <f t="shared" si="2"/>
        <v>1372735.2645</v>
      </c>
      <c r="I7" s="12">
        <f t="shared" si="2"/>
        <v>1396057.527</v>
      </c>
      <c r="J7" s="12">
        <f t="shared" si="2"/>
        <v>1322407.6125</v>
      </c>
      <c r="K7" s="12">
        <f t="shared" si="2"/>
        <v>1391152.0734999999</v>
      </c>
      <c r="L7" s="12">
        <f t="shared" si="2"/>
        <v>1270015.8550000002</v>
      </c>
      <c r="M7" s="12">
        <f t="shared" si="2"/>
        <v>1230969.9470000002</v>
      </c>
      <c r="N7" s="13">
        <f t="shared" si="1"/>
        <v>15821669.686500004</v>
      </c>
    </row>
    <row r="8" spans="1:14" x14ac:dyDescent="0.25">
      <c r="A8" s="11" t="s">
        <v>20</v>
      </c>
      <c r="B8" s="12">
        <f>B6-B7</f>
        <v>23461616.347000003</v>
      </c>
      <c r="C8" s="12">
        <f t="shared" ref="C8:M8" si="3">C6-C7</f>
        <v>23803894.022500001</v>
      </c>
      <c r="D8" s="12">
        <f t="shared" si="3"/>
        <v>25821888.7535</v>
      </c>
      <c r="E8" s="12">
        <f t="shared" si="3"/>
        <v>25824022.4725</v>
      </c>
      <c r="F8" s="12">
        <f t="shared" si="3"/>
        <v>25433827.480999999</v>
      </c>
      <c r="G8" s="12">
        <f t="shared" si="3"/>
        <v>24583047.656500001</v>
      </c>
      <c r="H8" s="12">
        <f t="shared" si="3"/>
        <v>26081970.0255</v>
      </c>
      <c r="I8" s="12">
        <f t="shared" si="3"/>
        <v>26525093.013</v>
      </c>
      <c r="J8" s="12">
        <f t="shared" si="3"/>
        <v>25125744.637499999</v>
      </c>
      <c r="K8" s="12">
        <f t="shared" si="3"/>
        <v>26431889.396499999</v>
      </c>
      <c r="L8" s="12">
        <f t="shared" si="3"/>
        <v>24130301.245000001</v>
      </c>
      <c r="M8" s="12">
        <f t="shared" si="3"/>
        <v>23388428.993000001</v>
      </c>
      <c r="N8" s="13">
        <f t="shared" si="1"/>
        <v>300611724.04349995</v>
      </c>
    </row>
    <row r="9" spans="1:14" x14ac:dyDescent="0.25">
      <c r="A9" s="11" t="s">
        <v>21</v>
      </c>
      <c r="B9" s="12">
        <f>B8*0.0264</f>
        <v>619386.67156080005</v>
      </c>
      <c r="C9" s="12">
        <f t="shared" ref="C9:M9" si="4">C8*0.0264</f>
        <v>628422.80219399999</v>
      </c>
      <c r="D9" s="12">
        <f t="shared" si="4"/>
        <v>681697.86309240002</v>
      </c>
      <c r="E9" s="12">
        <f t="shared" si="4"/>
        <v>681754.19327399996</v>
      </c>
      <c r="F9" s="12">
        <f t="shared" si="4"/>
        <v>671453.0454984</v>
      </c>
      <c r="G9" s="12">
        <f t="shared" si="4"/>
        <v>648992.45813160005</v>
      </c>
      <c r="H9" s="12">
        <f t="shared" si="4"/>
        <v>688564.00867320003</v>
      </c>
      <c r="I9" s="12">
        <f t="shared" si="4"/>
        <v>700262.45554320002</v>
      </c>
      <c r="J9" s="12">
        <f t="shared" si="4"/>
        <v>663319.65842999995</v>
      </c>
      <c r="K9" s="12">
        <f t="shared" si="4"/>
        <v>697801.88006759994</v>
      </c>
      <c r="L9" s="12">
        <f t="shared" si="4"/>
        <v>637039.95286800002</v>
      </c>
      <c r="M9" s="12">
        <f t="shared" si="4"/>
        <v>617454.52541520004</v>
      </c>
      <c r="N9" s="13">
        <f t="shared" si="1"/>
        <v>7936149.5147484001</v>
      </c>
    </row>
    <row r="10" spans="1:14" x14ac:dyDescent="0.25">
      <c r="A10" s="11" t="s">
        <v>22</v>
      </c>
      <c r="B10" s="12">
        <f>'[1]REMUN. ACUM 2024'!$D$7</f>
        <v>185437.58207971719</v>
      </c>
      <c r="C10" s="12">
        <f>'[1]REMUN. ACUM 2024'!$D$9</f>
        <v>188321.45062115273</v>
      </c>
      <c r="D10" s="12">
        <f>'[1]REMUN. ACUM 2024'!$D$11</f>
        <v>190182.3633563279</v>
      </c>
      <c r="E10" s="12">
        <f>'[1]REMUN. ACUM 2024'!$D$13</f>
        <v>190223.5555698341</v>
      </c>
      <c r="F10" s="12">
        <f>'[1]REMUN. ACUM 2024'!$D$15</f>
        <v>193026.8092109859</v>
      </c>
      <c r="G10" s="12">
        <f>'[1]REMUN. ACUM 2024'!$D$17</f>
        <v>193940.26310876053</v>
      </c>
      <c r="H10" s="12">
        <f>'[1]REMUN. ACUM 2024'!$D$19</f>
        <v>194358.99831863062</v>
      </c>
      <c r="I10" s="12">
        <f>'[1]REMUN. ACUM 2024'!$D$21</f>
        <v>195162.24446214814</v>
      </c>
      <c r="J10" s="12">
        <f>'[1]REMUN. ACUM 2024'!$D$23</f>
        <v>195373.51855182316</v>
      </c>
      <c r="K10" s="12">
        <f>'[1]REMUN. ACUM 2024'!$D$25</f>
        <v>195528.05855594377</v>
      </c>
      <c r="L10" s="12">
        <f>'[1]REMUN. ACUM 2024'!$D$27</f>
        <v>195576.31768085883</v>
      </c>
      <c r="M10" s="12">
        <f>'[1]REMUN. ACUM 2024'!$D$29</f>
        <v>194592.87637009058</v>
      </c>
      <c r="N10" s="13">
        <f t="shared" si="1"/>
        <v>2311724.0378862736</v>
      </c>
    </row>
    <row r="11" spans="1:14" x14ac:dyDescent="0.25">
      <c r="A11" s="11" t="s">
        <v>23</v>
      </c>
      <c r="B11" s="12">
        <f>B5-B8-B9-B10</f>
        <v>15998520.059359476</v>
      </c>
      <c r="C11" s="12">
        <f t="shared" ref="C11:M11" si="5">C5-C8-C9-C10</f>
        <v>13418532.544684848</v>
      </c>
      <c r="D11" s="12">
        <f t="shared" si="5"/>
        <v>13925734.620051274</v>
      </c>
      <c r="E11" s="12">
        <f t="shared" si="5"/>
        <v>13681696.208656164</v>
      </c>
      <c r="F11" s="12">
        <f t="shared" si="5"/>
        <v>14787559.114290617</v>
      </c>
      <c r="G11" s="12">
        <f t="shared" si="5"/>
        <v>14116854.69225964</v>
      </c>
      <c r="H11" s="12">
        <f t="shared" si="5"/>
        <v>14834003.237508172</v>
      </c>
      <c r="I11" s="12">
        <f t="shared" si="5"/>
        <v>14220025.136994654</v>
      </c>
      <c r="J11" s="12">
        <f t="shared" si="5"/>
        <v>12748455.88551818</v>
      </c>
      <c r="K11" s="12">
        <f t="shared" si="5"/>
        <v>12504548.944876458</v>
      </c>
      <c r="L11" s="12">
        <f t="shared" si="5"/>
        <v>11121406.904451143</v>
      </c>
      <c r="M11" s="12">
        <f t="shared" si="5"/>
        <v>13043514.175214708</v>
      </c>
      <c r="N11" s="13">
        <f t="shared" si="1"/>
        <v>164400851.52386531</v>
      </c>
    </row>
    <row r="12" spans="1:14" x14ac:dyDescent="0.25">
      <c r="A12" s="11" t="s">
        <v>24</v>
      </c>
      <c r="B12" s="12">
        <f>B11*0.05</f>
        <v>799926.00296797382</v>
      </c>
      <c r="C12" s="12">
        <f t="shared" ref="C12:M12" si="6">C11*0.05</f>
        <v>670926.62723424239</v>
      </c>
      <c r="D12" s="12">
        <f t="shared" si="6"/>
        <v>696286.73100256373</v>
      </c>
      <c r="E12" s="12">
        <f t="shared" si="6"/>
        <v>684084.81043280824</v>
      </c>
      <c r="F12" s="12">
        <f t="shared" si="6"/>
        <v>739377.95571453089</v>
      </c>
      <c r="G12" s="12">
        <f t="shared" si="6"/>
        <v>705842.73461298202</v>
      </c>
      <c r="H12" s="12">
        <f t="shared" si="6"/>
        <v>741700.16187540861</v>
      </c>
      <c r="I12" s="12">
        <f t="shared" si="6"/>
        <v>711001.25684973272</v>
      </c>
      <c r="J12" s="12">
        <f t="shared" si="6"/>
        <v>637422.79427590908</v>
      </c>
      <c r="K12" s="12">
        <f t="shared" si="6"/>
        <v>625227.44724382297</v>
      </c>
      <c r="L12" s="12">
        <f t="shared" si="6"/>
        <v>556070.3452225572</v>
      </c>
      <c r="M12" s="12">
        <f t="shared" si="6"/>
        <v>652175.70876073546</v>
      </c>
      <c r="N12" s="13">
        <f t="shared" si="1"/>
        <v>8220042.5761932656</v>
      </c>
    </row>
    <row r="13" spans="1:14" x14ac:dyDescent="0.25">
      <c r="A13" s="11" t="s">
        <v>25</v>
      </c>
      <c r="B13" s="14">
        <f t="shared" ref="B13:N13" si="7">B31/B15</f>
        <v>1.4451340207898853</v>
      </c>
      <c r="C13" s="15">
        <f t="shared" si="7"/>
        <v>1.5583049796512576</v>
      </c>
      <c r="D13" s="15">
        <f t="shared" si="7"/>
        <v>1.6220649325107472</v>
      </c>
      <c r="E13" s="15">
        <f t="shared" si="7"/>
        <v>1.6583280675949186</v>
      </c>
      <c r="F13" s="15">
        <f t="shared" si="7"/>
        <v>1.603658547658867</v>
      </c>
      <c r="G13" s="15">
        <f t="shared" si="7"/>
        <v>1.6231023715162254</v>
      </c>
      <c r="H13" s="15">
        <f t="shared" si="7"/>
        <v>1.584489477928636</v>
      </c>
      <c r="I13" s="15">
        <f t="shared" si="7"/>
        <v>1.6524320049375609</v>
      </c>
      <c r="J13" s="15">
        <f t="shared" si="7"/>
        <v>1.6868525550016218</v>
      </c>
      <c r="K13" s="15">
        <f t="shared" si="7"/>
        <v>1.7256260486888013</v>
      </c>
      <c r="L13" s="15">
        <f t="shared" si="7"/>
        <v>1.752861011319174</v>
      </c>
      <c r="M13" s="15">
        <f t="shared" si="7"/>
        <v>1.5959127376434237</v>
      </c>
      <c r="N13" s="16">
        <f t="shared" si="7"/>
        <v>1.6244271684229901</v>
      </c>
    </row>
    <row r="14" spans="1:14" x14ac:dyDescent="0.25">
      <c r="A14" s="11" t="s">
        <v>26</v>
      </c>
      <c r="B14" s="17">
        <f t="shared" ref="B14:N14" si="8">B31/B16</f>
        <v>36.937750690507755</v>
      </c>
      <c r="C14" s="18">
        <f t="shared" si="8"/>
        <v>39.931538116067749</v>
      </c>
      <c r="D14" s="18">
        <f t="shared" si="8"/>
        <v>41.701340439183134</v>
      </c>
      <c r="E14" s="18">
        <f t="shared" si="8"/>
        <v>42.642826400521123</v>
      </c>
      <c r="F14" s="18">
        <f t="shared" si="8"/>
        <v>41.317572540024798</v>
      </c>
      <c r="G14" s="18">
        <f t="shared" si="8"/>
        <v>41.829805217029005</v>
      </c>
      <c r="H14" s="18">
        <f t="shared" si="8"/>
        <v>40.720719860744566</v>
      </c>
      <c r="I14" s="18">
        <f t="shared" si="8"/>
        <v>42.438889890273302</v>
      </c>
      <c r="J14" s="18">
        <f t="shared" si="8"/>
        <v>42.801861471602692</v>
      </c>
      <c r="K14" s="18">
        <f t="shared" si="8"/>
        <v>43.841193278632659</v>
      </c>
      <c r="L14" s="18">
        <f t="shared" si="8"/>
        <v>45.458281371017499</v>
      </c>
      <c r="M14" s="18">
        <f t="shared" si="8"/>
        <v>41.33552873928231</v>
      </c>
      <c r="N14" s="19">
        <f t="shared" si="8"/>
        <v>41.707372601278529</v>
      </c>
    </row>
    <row r="15" spans="1:14" x14ac:dyDescent="0.25">
      <c r="A15" s="11" t="s">
        <v>27</v>
      </c>
      <c r="B15" s="20">
        <f>'[2]ROM Estatistica'!$G$7</f>
        <v>4502115.3099999996</v>
      </c>
      <c r="C15" s="20">
        <f>'[3]ROM Estatistica'!$G$7</f>
        <v>4165161.56</v>
      </c>
      <c r="D15" s="20">
        <f>'[4]ROM Estatistica'!$G$7</f>
        <v>4447699.26</v>
      </c>
      <c r="E15" s="20">
        <f>'[5]ROM Estatistica'!$G$7</f>
        <v>4421222.28</v>
      </c>
      <c r="F15" s="20">
        <f>'[6]ROM Estatistica'!$G$7</f>
        <v>4498764.41</v>
      </c>
      <c r="G15" s="20">
        <f>'[7]ROM Estatistica'!$G$7</f>
        <v>4329807.6100000003</v>
      </c>
      <c r="H15" s="20">
        <f>'[8]ROM Estatistica'!$G$7</f>
        <v>4576838.8500000006</v>
      </c>
      <c r="I15" s="20">
        <f>'[9]ROM Estatistica'!$G$7</f>
        <v>4559498.3499999996</v>
      </c>
      <c r="J15" s="20">
        <f>'[10]ROM Estatistica'!$G$7</f>
        <v>4244707.0900000008</v>
      </c>
      <c r="K15" s="20">
        <f>'[11]ROM Estatistica'!$G$7</f>
        <v>4361225.8899999997</v>
      </c>
      <c r="L15" s="20">
        <f>'[12]ROM Estatistica'!$G$7</f>
        <v>3951112.47</v>
      </c>
      <c r="M15" s="20">
        <f>'[13]ROM Estatistica'!$G$7</f>
        <v>4078092.02</v>
      </c>
      <c r="N15" s="13">
        <f>SUM(B15:M15)</f>
        <v>52136245.100000009</v>
      </c>
    </row>
    <row r="16" spans="1:14" x14ac:dyDescent="0.25">
      <c r="A16" s="11" t="s">
        <v>28</v>
      </c>
      <c r="B16" s="20">
        <f>[2]EMP!$C$5</f>
        <v>176138.5</v>
      </c>
      <c r="C16" s="20">
        <f>[3]EMP!$C$5</f>
        <v>162543</v>
      </c>
      <c r="D16" s="20">
        <f>[4]EMP!$C$5</f>
        <v>173003</v>
      </c>
      <c r="E16" s="20">
        <f>[5]EMP!$C$5</f>
        <v>171936</v>
      </c>
      <c r="F16" s="20">
        <f>[6]EMP!$C$5</f>
        <v>174610.5</v>
      </c>
      <c r="G16" s="20">
        <f>[7]EMP!$C$5</f>
        <v>168007.5</v>
      </c>
      <c r="H16" s="20">
        <f>[8]EMP!$C$5</f>
        <v>178090</v>
      </c>
      <c r="I16" s="20">
        <f>[9]EMP!$C$5</f>
        <v>177532</v>
      </c>
      <c r="J16" s="20">
        <f>[10]EMP!$C$5</f>
        <v>167287</v>
      </c>
      <c r="K16" s="20">
        <f>[11]EMP!$C$5</f>
        <v>171661.5</v>
      </c>
      <c r="L16" s="20">
        <f>[12]EMP!$C$5</f>
        <v>152354</v>
      </c>
      <c r="M16" s="20">
        <f>[13]EMP!$C$5</f>
        <v>157450</v>
      </c>
      <c r="N16" s="13">
        <f>SUM(B16:M16)</f>
        <v>2030613</v>
      </c>
    </row>
    <row r="17" spans="1:14" x14ac:dyDescent="0.25">
      <c r="A17" s="11" t="s">
        <v>29</v>
      </c>
      <c r="B17" s="21">
        <f t="shared" ref="B17:M17" si="9">B15/B20</f>
        <v>6192.7308253094907</v>
      </c>
      <c r="C17" s="22">
        <f t="shared" si="9"/>
        <v>5729.2456121045388</v>
      </c>
      <c r="D17" s="22">
        <f t="shared" si="9"/>
        <v>6117.8806877579091</v>
      </c>
      <c r="E17" s="22">
        <f t="shared" si="9"/>
        <v>6081.4611829436044</v>
      </c>
      <c r="F17" s="22">
        <f t="shared" si="9"/>
        <v>6188.1216093535077</v>
      </c>
      <c r="G17" s="22">
        <f t="shared" si="9"/>
        <v>5955.7188583218713</v>
      </c>
      <c r="H17" s="22">
        <f t="shared" si="9"/>
        <v>6304.1857438016541</v>
      </c>
      <c r="I17" s="22">
        <f t="shared" si="9"/>
        <v>6280.3007575757574</v>
      </c>
      <c r="J17" s="22">
        <f t="shared" si="9"/>
        <v>5920.0935704323583</v>
      </c>
      <c r="K17" s="22">
        <f t="shared" si="9"/>
        <v>6142.5716760563373</v>
      </c>
      <c r="L17" s="22">
        <f t="shared" si="9"/>
        <v>5495.288553546593</v>
      </c>
      <c r="M17" s="22">
        <f t="shared" si="9"/>
        <v>5671.8943254520163</v>
      </c>
      <c r="N17" s="13">
        <f>AVERAGE(B17:M17)</f>
        <v>6006.6244502213021</v>
      </c>
    </row>
    <row r="18" spans="1:14" x14ac:dyDescent="0.25">
      <c r="A18" s="11" t="s">
        <v>30</v>
      </c>
      <c r="B18" s="23">
        <f>B21+B23+B25+B27+B29</f>
        <v>799</v>
      </c>
      <c r="C18" s="23">
        <f t="shared" ref="C18:L18" si="10">C21+C23+C25+C27+C29</f>
        <v>800</v>
      </c>
      <c r="D18" s="23">
        <f t="shared" si="10"/>
        <v>800</v>
      </c>
      <c r="E18" s="23">
        <f t="shared" si="10"/>
        <v>797</v>
      </c>
      <c r="F18" s="23">
        <f t="shared" si="10"/>
        <v>796</v>
      </c>
      <c r="G18" s="23">
        <f t="shared" si="10"/>
        <v>794</v>
      </c>
      <c r="H18" s="23">
        <f t="shared" si="10"/>
        <v>798</v>
      </c>
      <c r="I18" s="23">
        <f t="shared" si="10"/>
        <v>798</v>
      </c>
      <c r="J18" s="23">
        <f t="shared" si="10"/>
        <v>788</v>
      </c>
      <c r="K18" s="23">
        <f t="shared" si="10"/>
        <v>780</v>
      </c>
      <c r="L18" s="23">
        <f t="shared" si="10"/>
        <v>788</v>
      </c>
      <c r="M18" s="23">
        <v>789</v>
      </c>
      <c r="N18" s="24">
        <f>AVERAGE(B18:M18)</f>
        <v>793.91666666666663</v>
      </c>
    </row>
    <row r="19" spans="1:14" x14ac:dyDescent="0.25">
      <c r="A19" s="11" t="s">
        <v>31</v>
      </c>
      <c r="B19" s="12">
        <f>'[14]COMPOSIÇÃO GEVIS'!$K$38</f>
        <v>7.9061728395061728</v>
      </c>
      <c r="C19" s="25">
        <f>'[15]COMPOSIÇÃO GEVIS'!$K$38</f>
        <v>7.5891758917589174</v>
      </c>
      <c r="D19" s="25">
        <v>7.53</v>
      </c>
      <c r="E19" s="25">
        <v>7.52</v>
      </c>
      <c r="F19" s="25">
        <v>7.43</v>
      </c>
      <c r="G19" s="25">
        <v>7.41</v>
      </c>
      <c r="H19" s="25">
        <v>7.2</v>
      </c>
      <c r="I19" s="25">
        <v>6.94</v>
      </c>
      <c r="J19" s="25">
        <v>6.65</v>
      </c>
      <c r="K19" s="25">
        <v>6.42</v>
      </c>
      <c r="L19" s="25">
        <v>6.24</v>
      </c>
      <c r="M19" s="25">
        <v>6.23</v>
      </c>
      <c r="N19" s="13">
        <f>AVERAGE(B19:M19)</f>
        <v>7.0887790609387578</v>
      </c>
    </row>
    <row r="20" spans="1:14" x14ac:dyDescent="0.25">
      <c r="A20" s="26" t="s">
        <v>32</v>
      </c>
      <c r="B20" s="23">
        <v>727</v>
      </c>
      <c r="C20" s="23">
        <v>727</v>
      </c>
      <c r="D20" s="27">
        <v>727</v>
      </c>
      <c r="E20" s="27">
        <v>727</v>
      </c>
      <c r="F20" s="27">
        <v>727</v>
      </c>
      <c r="G20" s="27">
        <v>727</v>
      </c>
      <c r="H20" s="27">
        <v>726</v>
      </c>
      <c r="I20" s="27">
        <v>726</v>
      </c>
      <c r="J20" s="27">
        <v>717</v>
      </c>
      <c r="K20" s="27">
        <v>710</v>
      </c>
      <c r="L20" s="27">
        <v>719</v>
      </c>
      <c r="M20" s="27">
        <v>719</v>
      </c>
      <c r="N20" s="28">
        <f t="shared" ref="N20:N30" si="11">AVERAGE(B20:M20)</f>
        <v>723.25</v>
      </c>
    </row>
    <row r="21" spans="1:14" x14ac:dyDescent="0.25">
      <c r="A21" s="11" t="s">
        <v>33</v>
      </c>
      <c r="B21" s="23">
        <v>749</v>
      </c>
      <c r="C21" s="27">
        <v>749</v>
      </c>
      <c r="D21" s="27">
        <v>749</v>
      </c>
      <c r="E21" s="27">
        <v>747</v>
      </c>
      <c r="F21" s="27">
        <v>744</v>
      </c>
      <c r="G21" s="27">
        <v>742</v>
      </c>
      <c r="H21" s="27">
        <v>746</v>
      </c>
      <c r="I21" s="27">
        <v>747</v>
      </c>
      <c r="J21" s="27">
        <v>737</v>
      </c>
      <c r="K21" s="27">
        <v>729</v>
      </c>
      <c r="L21" s="27">
        <v>728</v>
      </c>
      <c r="M21" s="27">
        <v>728</v>
      </c>
      <c r="N21" s="29">
        <f t="shared" si="11"/>
        <v>741.25</v>
      </c>
    </row>
    <row r="22" spans="1:14" x14ac:dyDescent="0.25">
      <c r="A22" s="11" t="s">
        <v>31</v>
      </c>
      <c r="B22" s="12">
        <v>7.9273447820343463</v>
      </c>
      <c r="C22" s="25">
        <v>7.6</v>
      </c>
      <c r="D22" s="25">
        <v>7.5426666666666664</v>
      </c>
      <c r="E22" s="25">
        <v>7.5394736842105265</v>
      </c>
      <c r="F22" s="25">
        <v>7.46</v>
      </c>
      <c r="G22" s="25">
        <v>7.44</v>
      </c>
      <c r="H22" s="25">
        <v>7.22</v>
      </c>
      <c r="I22" s="25">
        <v>6.95</v>
      </c>
      <c r="J22" s="25">
        <v>6.64</v>
      </c>
      <c r="K22" s="25">
        <v>6.39</v>
      </c>
      <c r="L22" s="25">
        <v>6.234354194407457</v>
      </c>
      <c r="M22" s="25">
        <v>6.23</v>
      </c>
      <c r="N22" s="13">
        <f t="shared" si="11"/>
        <v>7.0978199439432501</v>
      </c>
    </row>
    <row r="23" spans="1:14" x14ac:dyDescent="0.25">
      <c r="A23" s="11" t="s">
        <v>34</v>
      </c>
      <c r="B23" s="23">
        <v>36</v>
      </c>
      <c r="C23" s="27">
        <v>36</v>
      </c>
      <c r="D23" s="27">
        <v>36</v>
      </c>
      <c r="E23" s="27">
        <v>34</v>
      </c>
      <c r="F23" s="27">
        <v>36</v>
      </c>
      <c r="G23" s="27">
        <v>36</v>
      </c>
      <c r="H23" s="27">
        <v>36</v>
      </c>
      <c r="I23" s="27">
        <v>36</v>
      </c>
      <c r="J23" s="27">
        <v>36</v>
      </c>
      <c r="K23" s="27">
        <v>36</v>
      </c>
      <c r="L23" s="27">
        <v>35</v>
      </c>
      <c r="M23" s="27">
        <v>36</v>
      </c>
      <c r="N23" s="30">
        <f t="shared" si="11"/>
        <v>35.75</v>
      </c>
    </row>
    <row r="24" spans="1:14" x14ac:dyDescent="0.25">
      <c r="A24" s="11" t="s">
        <v>31</v>
      </c>
      <c r="B24" s="12">
        <v>10.083333333333334</v>
      </c>
      <c r="C24" s="25">
        <v>10.083333333333334</v>
      </c>
      <c r="D24" s="25">
        <v>10.083333333333334</v>
      </c>
      <c r="E24" s="25">
        <v>10.083333333333334</v>
      </c>
      <c r="F24" s="25">
        <v>9.5526315789473681</v>
      </c>
      <c r="G24" s="25">
        <v>9.5500000000000007</v>
      </c>
      <c r="H24" s="25">
        <v>9.3076923076923084</v>
      </c>
      <c r="I24" s="25">
        <v>9.1842105263157894</v>
      </c>
      <c r="J24" s="25">
        <v>9.1842105263157894</v>
      </c>
      <c r="K24" s="25">
        <v>9.1842105263157894</v>
      </c>
      <c r="L24" s="25">
        <v>9</v>
      </c>
      <c r="M24" s="25">
        <v>9</v>
      </c>
      <c r="N24" s="13">
        <f t="shared" si="11"/>
        <v>9.5246907332433661</v>
      </c>
    </row>
    <row r="25" spans="1:14" x14ac:dyDescent="0.25">
      <c r="A25" s="11" t="s">
        <v>35</v>
      </c>
      <c r="B25" s="23">
        <v>14</v>
      </c>
      <c r="C25" s="27">
        <v>14</v>
      </c>
      <c r="D25" s="27">
        <v>14</v>
      </c>
      <c r="E25" s="27">
        <v>14</v>
      </c>
      <c r="F25" s="27">
        <v>14</v>
      </c>
      <c r="G25" s="27">
        <v>14</v>
      </c>
      <c r="H25" s="27">
        <v>14</v>
      </c>
      <c r="I25" s="27">
        <v>14</v>
      </c>
      <c r="J25" s="27">
        <v>14</v>
      </c>
      <c r="K25" s="27">
        <v>14</v>
      </c>
      <c r="L25" s="27">
        <v>14</v>
      </c>
      <c r="M25" s="27">
        <v>14</v>
      </c>
      <c r="N25" s="30">
        <f t="shared" si="11"/>
        <v>14</v>
      </c>
    </row>
    <row r="26" spans="1:14" x14ac:dyDescent="0.25">
      <c r="A26" s="11" t="s">
        <v>31</v>
      </c>
      <c r="B26" s="12">
        <v>2.3529411764705883</v>
      </c>
      <c r="C26" s="25">
        <v>1.8125</v>
      </c>
      <c r="D26" s="25">
        <v>1.8125</v>
      </c>
      <c r="E26" s="25">
        <v>1.8125</v>
      </c>
      <c r="F26" s="25">
        <v>1.8125</v>
      </c>
      <c r="G26" s="25">
        <v>1.81</v>
      </c>
      <c r="H26" s="25">
        <v>1.8125</v>
      </c>
      <c r="I26" s="25">
        <v>1.8125</v>
      </c>
      <c r="J26" s="25">
        <v>1.8125</v>
      </c>
      <c r="K26" s="25">
        <v>1.8125</v>
      </c>
      <c r="L26" s="25">
        <v>1.8125</v>
      </c>
      <c r="M26" s="25">
        <v>1.8125</v>
      </c>
      <c r="N26" s="30">
        <f t="shared" si="11"/>
        <v>1.8573284313725491</v>
      </c>
    </row>
    <row r="27" spans="1:14" x14ac:dyDescent="0.25">
      <c r="A27" s="11" t="s">
        <v>36</v>
      </c>
      <c r="B27" s="23">
        <v>0</v>
      </c>
      <c r="C27" s="27">
        <v>1</v>
      </c>
      <c r="D27" s="27">
        <v>1</v>
      </c>
      <c r="E27" s="27">
        <v>2</v>
      </c>
      <c r="F27" s="27">
        <v>2</v>
      </c>
      <c r="G27" s="27">
        <v>2</v>
      </c>
      <c r="H27" s="27">
        <v>2</v>
      </c>
      <c r="I27" s="27">
        <v>1</v>
      </c>
      <c r="J27" s="27">
        <v>1</v>
      </c>
      <c r="K27" s="27">
        <v>1</v>
      </c>
      <c r="L27" s="27">
        <v>2</v>
      </c>
      <c r="M27" s="27">
        <v>2</v>
      </c>
      <c r="N27" s="31">
        <f t="shared" si="11"/>
        <v>1.4166666666666667</v>
      </c>
    </row>
    <row r="28" spans="1:14" x14ac:dyDescent="0.25">
      <c r="A28" s="11" t="s">
        <v>31</v>
      </c>
      <c r="B28" s="12">
        <v>0</v>
      </c>
      <c r="C28" s="25">
        <v>1</v>
      </c>
      <c r="D28" s="25">
        <v>1</v>
      </c>
      <c r="E28" s="25">
        <v>1</v>
      </c>
      <c r="F28" s="25">
        <v>1</v>
      </c>
      <c r="G28" s="25">
        <v>1</v>
      </c>
      <c r="H28" s="25">
        <v>1</v>
      </c>
      <c r="I28" s="25">
        <v>1</v>
      </c>
      <c r="J28" s="25">
        <v>1</v>
      </c>
      <c r="K28" s="25">
        <v>1</v>
      </c>
      <c r="L28" s="25">
        <v>1</v>
      </c>
      <c r="M28" s="25">
        <v>1</v>
      </c>
      <c r="N28" s="31">
        <f t="shared" si="11"/>
        <v>0.91666666666666663</v>
      </c>
    </row>
    <row r="29" spans="1:14" x14ac:dyDescent="0.25">
      <c r="A29" s="11" t="s">
        <v>37</v>
      </c>
      <c r="B29" s="23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9</v>
      </c>
      <c r="M29" s="27">
        <v>9</v>
      </c>
      <c r="N29" s="30">
        <f t="shared" si="11"/>
        <v>1.5</v>
      </c>
    </row>
    <row r="30" spans="1:14" x14ac:dyDescent="0.25">
      <c r="A30" s="11" t="s">
        <v>31</v>
      </c>
      <c r="B30" s="12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4.5555555555555554</v>
      </c>
      <c r="M30" s="25">
        <v>4.5555555555555554</v>
      </c>
      <c r="N30" s="31">
        <f t="shared" si="11"/>
        <v>0.75925925925925919</v>
      </c>
    </row>
    <row r="31" spans="1:14" x14ac:dyDescent="0.25">
      <c r="A31" s="11" t="s">
        <v>38</v>
      </c>
      <c r="B31" s="32">
        <f t="shared" ref="B31:M31" si="12">SUM(B32:B41)</f>
        <v>6506160</v>
      </c>
      <c r="C31" s="33">
        <f t="shared" si="12"/>
        <v>6490592</v>
      </c>
      <c r="D31" s="33">
        <f t="shared" si="12"/>
        <v>7214457</v>
      </c>
      <c r="E31" s="33">
        <f t="shared" si="12"/>
        <v>7331837</v>
      </c>
      <c r="F31" s="33">
        <f t="shared" si="12"/>
        <v>7214482</v>
      </c>
      <c r="G31" s="33">
        <f t="shared" si="12"/>
        <v>7027721</v>
      </c>
      <c r="H31" s="33">
        <f t="shared" si="12"/>
        <v>7251953</v>
      </c>
      <c r="I31" s="33">
        <f t="shared" si="12"/>
        <v>7534261</v>
      </c>
      <c r="J31" s="33">
        <f t="shared" si="12"/>
        <v>7160195</v>
      </c>
      <c r="K31" s="33">
        <f t="shared" si="12"/>
        <v>7525845</v>
      </c>
      <c r="L31" s="33">
        <f t="shared" si="12"/>
        <v>6925751</v>
      </c>
      <c r="M31" s="33">
        <f t="shared" si="12"/>
        <v>6508279</v>
      </c>
      <c r="N31" s="30">
        <f t="shared" ref="N31:N40" si="13">SUM(B31:M31)</f>
        <v>84691533</v>
      </c>
    </row>
    <row r="32" spans="1:14" x14ac:dyDescent="0.25">
      <c r="A32" s="11" t="s">
        <v>39</v>
      </c>
      <c r="B32" s="34">
        <f>1491200+1772396</f>
        <v>3263596</v>
      </c>
      <c r="C32" s="35">
        <f>2509393+621888</f>
        <v>3131281</v>
      </c>
      <c r="D32" s="35">
        <v>3355799</v>
      </c>
      <c r="E32" s="35">
        <v>3415039</v>
      </c>
      <c r="F32" s="35">
        <f>3429507+17</f>
        <v>3429524</v>
      </c>
      <c r="G32" s="35">
        <v>3310761</v>
      </c>
      <c r="H32" s="35">
        <v>3562707</v>
      </c>
      <c r="I32" s="35">
        <v>3578414</v>
      </c>
      <c r="J32" s="35">
        <v>3391479</v>
      </c>
      <c r="K32" s="35">
        <v>3619872</v>
      </c>
      <c r="L32" s="35">
        <v>3264297</v>
      </c>
      <c r="M32" s="35">
        <v>3133530</v>
      </c>
      <c r="N32" s="30">
        <f t="shared" si="13"/>
        <v>40456299</v>
      </c>
    </row>
    <row r="33" spans="1:14" x14ac:dyDescent="0.25">
      <c r="A33" s="36" t="s">
        <v>40</v>
      </c>
      <c r="B33" s="37">
        <f>2098039+506682</f>
        <v>2604721</v>
      </c>
      <c r="C33" s="38">
        <f>2510439+112304</f>
        <v>2622743</v>
      </c>
      <c r="D33" s="38">
        <v>2771275</v>
      </c>
      <c r="E33" s="38">
        <v>2676411</v>
      </c>
      <c r="F33" s="38">
        <v>2579993</v>
      </c>
      <c r="G33" s="38">
        <v>2502683</v>
      </c>
      <c r="H33" s="38">
        <v>2642067</v>
      </c>
      <c r="I33" s="38">
        <v>2671927</v>
      </c>
      <c r="J33" s="38">
        <v>2534453</v>
      </c>
      <c r="K33" s="38">
        <v>2634577</v>
      </c>
      <c r="L33" s="38">
        <v>2472471</v>
      </c>
      <c r="M33" s="38">
        <v>2484530</v>
      </c>
      <c r="N33" s="39">
        <f>SUM(B33:M33)</f>
        <v>31197851</v>
      </c>
    </row>
    <row r="34" spans="1:14" x14ac:dyDescent="0.25">
      <c r="A34" s="36" t="s">
        <v>41</v>
      </c>
      <c r="B34" s="37">
        <v>455420</v>
      </c>
      <c r="C34" s="38">
        <v>436059</v>
      </c>
      <c r="D34" s="38">
        <v>483436</v>
      </c>
      <c r="E34" s="38">
        <v>498187</v>
      </c>
      <c r="F34" s="38">
        <v>501763</v>
      </c>
      <c r="G34" s="38">
        <v>489811</v>
      </c>
      <c r="H34" s="38">
        <v>517582</v>
      </c>
      <c r="I34" s="38">
        <v>519604</v>
      </c>
      <c r="J34" s="38">
        <v>507133</v>
      </c>
      <c r="K34" s="38">
        <v>520439</v>
      </c>
      <c r="L34" s="38">
        <v>499637</v>
      </c>
      <c r="M34" s="38">
        <v>496848</v>
      </c>
      <c r="N34" s="39">
        <f>SUM(B34:M34)</f>
        <v>5925919</v>
      </c>
    </row>
    <row r="35" spans="1:14" x14ac:dyDescent="0.25">
      <c r="A35" s="11" t="s">
        <v>42</v>
      </c>
      <c r="B35" s="34">
        <f>30599+35781</f>
        <v>66380</v>
      </c>
      <c r="C35" s="35">
        <f>79903+24536</f>
        <v>104439</v>
      </c>
      <c r="D35" s="35">
        <v>249292</v>
      </c>
      <c r="E35" s="35">
        <v>326644</v>
      </c>
      <c r="F35" s="35">
        <v>314086</v>
      </c>
      <c r="G35" s="35">
        <v>315429</v>
      </c>
      <c r="H35" s="35">
        <v>224109</v>
      </c>
      <c r="I35" s="35">
        <v>331220</v>
      </c>
      <c r="J35" s="35">
        <v>334237</v>
      </c>
      <c r="K35" s="35">
        <v>332614</v>
      </c>
      <c r="L35" s="35">
        <v>313968</v>
      </c>
      <c r="M35" s="35">
        <v>179363</v>
      </c>
      <c r="N35" s="30">
        <f t="shared" si="13"/>
        <v>3091781</v>
      </c>
    </row>
    <row r="36" spans="1:14" x14ac:dyDescent="0.25">
      <c r="A36" s="36" t="s">
        <v>43</v>
      </c>
      <c r="B36" s="34">
        <v>4</v>
      </c>
      <c r="C36" s="35">
        <v>77922</v>
      </c>
      <c r="D36" s="35">
        <v>218628</v>
      </c>
      <c r="E36" s="35">
        <v>275560</v>
      </c>
      <c r="F36" s="35">
        <v>248149</v>
      </c>
      <c r="G36" s="35">
        <v>271143</v>
      </c>
      <c r="H36" s="35">
        <v>163151</v>
      </c>
      <c r="I36" s="35">
        <v>286449</v>
      </c>
      <c r="J36" s="35">
        <v>251231</v>
      </c>
      <c r="K36" s="35">
        <v>273134</v>
      </c>
      <c r="L36" s="35">
        <v>235873</v>
      </c>
      <c r="M36" s="35">
        <v>81812</v>
      </c>
      <c r="N36" s="30">
        <f t="shared" si="13"/>
        <v>2383056</v>
      </c>
    </row>
    <row r="37" spans="1:14" x14ac:dyDescent="0.25">
      <c r="A37" s="36" t="s">
        <v>44</v>
      </c>
      <c r="B37" s="37">
        <v>84410</v>
      </c>
      <c r="C37" s="38">
        <v>86454</v>
      </c>
      <c r="D37" s="38">
        <v>100115</v>
      </c>
      <c r="E37" s="38">
        <v>101967</v>
      </c>
      <c r="F37" s="38">
        <v>101813</v>
      </c>
      <c r="G37" s="38">
        <v>99917</v>
      </c>
      <c r="H37" s="38">
        <v>101284</v>
      </c>
      <c r="I37" s="38">
        <v>104076</v>
      </c>
      <c r="J37" s="38">
        <v>101208</v>
      </c>
      <c r="K37" s="38">
        <v>101862</v>
      </c>
      <c r="L37" s="38">
        <v>100351</v>
      </c>
      <c r="M37" s="38">
        <v>94606</v>
      </c>
      <c r="N37" s="39">
        <f t="shared" si="13"/>
        <v>1178063</v>
      </c>
    </row>
    <row r="38" spans="1:14" x14ac:dyDescent="0.25">
      <c r="A38" s="11" t="s">
        <v>45</v>
      </c>
      <c r="B38" s="34">
        <v>30831</v>
      </c>
      <c r="C38" s="35">
        <v>31002</v>
      </c>
      <c r="D38" s="35">
        <v>35188</v>
      </c>
      <c r="E38" s="35">
        <v>37160</v>
      </c>
      <c r="F38" s="35">
        <v>38373</v>
      </c>
      <c r="G38" s="35">
        <v>37270</v>
      </c>
      <c r="H38" s="35">
        <v>40235</v>
      </c>
      <c r="I38" s="35">
        <v>41868</v>
      </c>
      <c r="J38" s="35">
        <v>39665</v>
      </c>
      <c r="K38" s="35">
        <v>42489</v>
      </c>
      <c r="L38" s="35">
        <v>38397</v>
      </c>
      <c r="M38" s="35">
        <v>36818</v>
      </c>
      <c r="N38" s="30">
        <f>SUM(B38:M38)</f>
        <v>449296</v>
      </c>
    </row>
    <row r="39" spans="1:14" x14ac:dyDescent="0.25">
      <c r="A39" s="40" t="s">
        <v>46</v>
      </c>
      <c r="B39" s="41">
        <v>798</v>
      </c>
      <c r="C39" s="42">
        <v>691</v>
      </c>
      <c r="D39" s="42">
        <v>721</v>
      </c>
      <c r="E39" s="42">
        <v>862</v>
      </c>
      <c r="F39" s="42">
        <v>772</v>
      </c>
      <c r="G39" s="42">
        <v>700</v>
      </c>
      <c r="H39" s="42">
        <v>816</v>
      </c>
      <c r="I39" s="42">
        <v>693</v>
      </c>
      <c r="J39" s="42">
        <v>774</v>
      </c>
      <c r="K39" s="42">
        <v>850</v>
      </c>
      <c r="L39" s="42">
        <v>748</v>
      </c>
      <c r="M39" s="42">
        <v>766</v>
      </c>
      <c r="N39" s="43">
        <f>SUM(B39:M39)</f>
        <v>9191</v>
      </c>
    </row>
    <row r="40" spans="1:14" ht="15.75" thickBot="1" x14ac:dyDescent="0.3">
      <c r="A40" s="44" t="s">
        <v>47</v>
      </c>
      <c r="B40" s="45">
        <v>0</v>
      </c>
      <c r="C40" s="46">
        <v>1</v>
      </c>
      <c r="D40" s="46">
        <v>3</v>
      </c>
      <c r="E40" s="46">
        <v>7</v>
      </c>
      <c r="F40" s="46">
        <v>9</v>
      </c>
      <c r="G40" s="46">
        <v>7</v>
      </c>
      <c r="H40" s="46">
        <v>2</v>
      </c>
      <c r="I40" s="46">
        <v>10</v>
      </c>
      <c r="J40" s="46">
        <v>15</v>
      </c>
      <c r="K40" s="46">
        <v>8</v>
      </c>
      <c r="L40" s="46">
        <v>9</v>
      </c>
      <c r="M40" s="46">
        <v>6</v>
      </c>
      <c r="N40" s="47">
        <f t="shared" si="13"/>
        <v>77</v>
      </c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</row>
    <row r="43" spans="1:14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9"/>
    </row>
    <row r="44" spans="1:14" ht="24.75" thickBot="1" x14ac:dyDescent="0.3">
      <c r="A44" s="81" t="s">
        <v>48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2" t="s">
        <v>1</v>
      </c>
    </row>
    <row r="45" spans="1:14" ht="16.5" thickBot="1" x14ac:dyDescent="0.3">
      <c r="A45" s="50" t="s">
        <v>2</v>
      </c>
      <c r="B45" s="51" t="s">
        <v>3</v>
      </c>
      <c r="C45" s="52" t="s">
        <v>4</v>
      </c>
      <c r="D45" s="52" t="s">
        <v>5</v>
      </c>
      <c r="E45" s="52" t="s">
        <v>6</v>
      </c>
      <c r="F45" s="52" t="s">
        <v>7</v>
      </c>
      <c r="G45" s="52" t="s">
        <v>8</v>
      </c>
      <c r="H45" s="52" t="s">
        <v>9</v>
      </c>
      <c r="I45" s="52" t="s">
        <v>10</v>
      </c>
      <c r="J45" s="52" t="s">
        <v>11</v>
      </c>
      <c r="K45" s="52" t="s">
        <v>12</v>
      </c>
      <c r="L45" s="52" t="s">
        <v>13</v>
      </c>
      <c r="M45" s="52" t="s">
        <v>14</v>
      </c>
      <c r="N45" s="6" t="s">
        <v>15</v>
      </c>
    </row>
    <row r="46" spans="1:14" x14ac:dyDescent="0.25">
      <c r="A46" s="53" t="str">
        <f t="shared" ref="A46:A82" si="14">A4</f>
        <v>Custo Por KM  (R$/km)</v>
      </c>
      <c r="B46" s="54">
        <f t="shared" ref="B46:N46" si="15">B47/B57</f>
        <v>9.3809135048842656</v>
      </c>
      <c r="C46" s="55">
        <f t="shared" si="15"/>
        <v>9.5352000380577593</v>
      </c>
      <c r="D46" s="55">
        <f t="shared" si="15"/>
        <v>9.5352000137034842</v>
      </c>
      <c r="E46" s="55">
        <f t="shared" si="15"/>
        <v>9.5352000505133834</v>
      </c>
      <c r="F46" s="55">
        <f t="shared" si="15"/>
        <v>9.5352000714496175</v>
      </c>
      <c r="G46" s="55">
        <f t="shared" si="15"/>
        <v>9.5351999289093161</v>
      </c>
      <c r="H46" s="55">
        <f t="shared" si="15"/>
        <v>9.5352000461359605</v>
      </c>
      <c r="I46" s="55">
        <f t="shared" si="15"/>
        <v>9.5370781707127623</v>
      </c>
      <c r="J46" s="55">
        <f t="shared" si="15"/>
        <v>9.5325611889544959</v>
      </c>
      <c r="K46" s="55">
        <f t="shared" si="15"/>
        <v>9.535199989953556</v>
      </c>
      <c r="L46" s="55">
        <f t="shared" si="15"/>
        <v>9.5351999790491337</v>
      </c>
      <c r="M46" s="55">
        <f t="shared" si="15"/>
        <v>9.5352001126991119</v>
      </c>
      <c r="N46" s="56">
        <f t="shared" si="15"/>
        <v>9.521784934221154</v>
      </c>
    </row>
    <row r="47" spans="1:14" x14ac:dyDescent="0.25">
      <c r="A47" s="11" t="str">
        <f t="shared" si="14"/>
        <v>(1) Custo Total   (R$)</v>
      </c>
      <c r="B47" s="12">
        <v>49709460.850000001</v>
      </c>
      <c r="C47" s="12">
        <v>46693661.57</v>
      </c>
      <c r="D47" s="12">
        <v>49403432.659999996</v>
      </c>
      <c r="E47" s="12">
        <v>49418889.409999996</v>
      </c>
      <c r="F47" s="12">
        <v>50064272.670000002</v>
      </c>
      <c r="G47" s="12">
        <v>48351274.780000001</v>
      </c>
      <c r="H47" s="12">
        <f>[16]RECUST!$D$7</f>
        <v>51287085.280000001</v>
      </c>
      <c r="I47" s="12">
        <v>50649269.359999999</v>
      </c>
      <c r="J47" s="12">
        <v>47097997.5</v>
      </c>
      <c r="K47" s="12">
        <v>48784354.909999996</v>
      </c>
      <c r="L47" s="12">
        <v>44561901.890000001</v>
      </c>
      <c r="M47" s="12">
        <v>46444827.729999997</v>
      </c>
      <c r="N47" s="13">
        <f t="shared" ref="N47:N54" si="16">SUM(B47:M47)</f>
        <v>582466428.6099999</v>
      </c>
    </row>
    <row r="48" spans="1:14" x14ac:dyDescent="0.25">
      <c r="A48" s="11" t="str">
        <f t="shared" si="14"/>
        <v>Receita Arrecadada Efetiva (R$)</v>
      </c>
      <c r="B48" s="12">
        <v>30488493.649999999</v>
      </c>
      <c r="C48" s="12">
        <v>30755488.949999999</v>
      </c>
      <c r="D48" s="12">
        <v>33053902.489999998</v>
      </c>
      <c r="E48" s="12">
        <v>33270203.190000001</v>
      </c>
      <c r="F48" s="12">
        <v>32619454.98</v>
      </c>
      <c r="G48" s="12">
        <v>31639087.48</v>
      </c>
      <c r="H48" s="12">
        <v>33683528.909999996</v>
      </c>
      <c r="I48" s="12">
        <v>33961011.979999997</v>
      </c>
      <c r="J48" s="12">
        <v>32157637.390000001</v>
      </c>
      <c r="K48" s="12">
        <v>34077981.560000002</v>
      </c>
      <c r="L48" s="12">
        <v>31369384.449999999</v>
      </c>
      <c r="M48" s="12">
        <v>30673529.93</v>
      </c>
      <c r="N48" s="13">
        <f t="shared" si="16"/>
        <v>387749704.95999998</v>
      </c>
    </row>
    <row r="49" spans="1:14" x14ac:dyDescent="0.25">
      <c r="A49" s="11" t="str">
        <f t="shared" si="14"/>
        <v>Gerenciamento CETURB (5% da receita) (R$)</v>
      </c>
      <c r="B49" s="12">
        <f>B48*0.05</f>
        <v>1524424.6825000001</v>
      </c>
      <c r="C49" s="12">
        <f t="shared" ref="C49:M49" si="17">C48*0.05</f>
        <v>1537774.4475</v>
      </c>
      <c r="D49" s="12">
        <f t="shared" si="17"/>
        <v>1652695.1244999999</v>
      </c>
      <c r="E49" s="12">
        <f t="shared" si="17"/>
        <v>1663510.1595000001</v>
      </c>
      <c r="F49" s="12">
        <f t="shared" si="17"/>
        <v>1630972.7490000001</v>
      </c>
      <c r="G49" s="12">
        <f t="shared" si="17"/>
        <v>1581954.3740000001</v>
      </c>
      <c r="H49" s="12">
        <f t="shared" si="17"/>
        <v>1684176.4454999999</v>
      </c>
      <c r="I49" s="12">
        <f t="shared" si="17"/>
        <v>1698050.5989999999</v>
      </c>
      <c r="J49" s="12">
        <f t="shared" si="17"/>
        <v>1607881.8695</v>
      </c>
      <c r="K49" s="12">
        <f t="shared" si="17"/>
        <v>1703899.0780000002</v>
      </c>
      <c r="L49" s="12">
        <f t="shared" si="17"/>
        <v>1568469.2225000001</v>
      </c>
      <c r="M49" s="12">
        <f t="shared" si="17"/>
        <v>1533676.4965000001</v>
      </c>
      <c r="N49" s="13">
        <f t="shared" si="16"/>
        <v>19387485.248</v>
      </c>
    </row>
    <row r="50" spans="1:14" x14ac:dyDescent="0.25">
      <c r="A50" s="11" t="str">
        <f t="shared" si="14"/>
        <v>(2) Receita Efetiva Líquida(R$)</v>
      </c>
      <c r="B50" s="12">
        <f>B48-B49</f>
        <v>28964068.967499997</v>
      </c>
      <c r="C50" s="12">
        <f t="shared" ref="C50:M50" si="18">C48-C49</f>
        <v>29217714.502499998</v>
      </c>
      <c r="D50" s="12">
        <f t="shared" si="18"/>
        <v>31401207.365499999</v>
      </c>
      <c r="E50" s="12">
        <f t="shared" si="18"/>
        <v>31606693.030500002</v>
      </c>
      <c r="F50" s="12">
        <f t="shared" si="18"/>
        <v>30988482.230999999</v>
      </c>
      <c r="G50" s="12">
        <f t="shared" si="18"/>
        <v>30057133.105999999</v>
      </c>
      <c r="H50" s="12">
        <f t="shared" si="18"/>
        <v>31999352.464499995</v>
      </c>
      <c r="I50" s="12">
        <f t="shared" si="18"/>
        <v>32262961.380999997</v>
      </c>
      <c r="J50" s="12">
        <f t="shared" si="18"/>
        <v>30549755.520500001</v>
      </c>
      <c r="K50" s="12">
        <f t="shared" si="18"/>
        <v>32374082.482000001</v>
      </c>
      <c r="L50" s="12">
        <f t="shared" si="18"/>
        <v>29800915.227499999</v>
      </c>
      <c r="M50" s="12">
        <f t="shared" si="18"/>
        <v>29139853.433499999</v>
      </c>
      <c r="N50" s="13">
        <f t="shared" si="16"/>
        <v>368362219.71200001</v>
      </c>
    </row>
    <row r="51" spans="1:14" x14ac:dyDescent="0.25">
      <c r="A51" s="11" t="str">
        <f t="shared" si="14"/>
        <v>(3) % Evasão da receita (2,64%) (R$)</v>
      </c>
      <c r="B51" s="12">
        <f>B50*0.0264</f>
        <v>764651.42074199987</v>
      </c>
      <c r="C51" s="12">
        <f t="shared" ref="C51:M51" si="19">C50*0.0264</f>
        <v>771347.66286599997</v>
      </c>
      <c r="D51" s="12">
        <f t="shared" si="19"/>
        <v>828991.8744492</v>
      </c>
      <c r="E51" s="12">
        <f t="shared" si="19"/>
        <v>834416.69600520004</v>
      </c>
      <c r="F51" s="12">
        <f t="shared" si="19"/>
        <v>818095.93089839991</v>
      </c>
      <c r="G51" s="12">
        <f t="shared" si="19"/>
        <v>793508.3139984</v>
      </c>
      <c r="H51" s="12">
        <f t="shared" si="19"/>
        <v>844782.90506279992</v>
      </c>
      <c r="I51" s="12">
        <f t="shared" si="19"/>
        <v>851742.18045839993</v>
      </c>
      <c r="J51" s="12">
        <f t="shared" si="19"/>
        <v>806513.54574119998</v>
      </c>
      <c r="K51" s="12">
        <f t="shared" si="19"/>
        <v>854675.77752480004</v>
      </c>
      <c r="L51" s="12">
        <f t="shared" si="19"/>
        <v>786744.16200599994</v>
      </c>
      <c r="M51" s="12">
        <f t="shared" si="19"/>
        <v>769292.13064440002</v>
      </c>
      <c r="N51" s="13">
        <f t="shared" si="16"/>
        <v>9724762.6003967989</v>
      </c>
    </row>
    <row r="52" spans="1:14" x14ac:dyDescent="0.25">
      <c r="A52" s="11" t="str">
        <f t="shared" si="14"/>
        <v>(4) Receitas Acessórias (R$)</v>
      </c>
      <c r="B52" s="12">
        <f>'[1]REMUN. ACUM 2024'!$D$8</f>
        <v>229004.31469444942</v>
      </c>
      <c r="C52" s="12">
        <f>'[1]REMUN. ACUM 2024'!$D$10</f>
        <v>232335.34178134718</v>
      </c>
      <c r="D52" s="12">
        <f>'[1]REMUN. ACUM 2024'!$D$12</f>
        <v>234401.39171242208</v>
      </c>
      <c r="E52" s="12">
        <f>'[1]REMUN. ACUM 2024'!$D$14</f>
        <v>234088.78424516588</v>
      </c>
      <c r="F52" s="12">
        <f>'[1]REMUN. ACUM 2024'!$D$16</f>
        <v>237318.90800443082</v>
      </c>
      <c r="G52" s="12">
        <f>'[1]REMUN. ACUM 2024'!$D$18</f>
        <v>238257.25459519774</v>
      </c>
      <c r="H52" s="12">
        <f>'[1]REMUN. ACUM 2024'!$D$20</f>
        <v>238702.41719491105</v>
      </c>
      <c r="I52" s="12">
        <f>'[1]REMUN. ACUM 2024'!$D$22</f>
        <v>239639.63619931013</v>
      </c>
      <c r="J52" s="12">
        <f>'[1]REMUN. ACUM 2024'!$D$24</f>
        <v>239600.55072213517</v>
      </c>
      <c r="K52" s="12">
        <f>'[1]REMUN. ACUM 2024'!$D$26</f>
        <v>239467.30542634788</v>
      </c>
      <c r="L52" s="12">
        <f>'[1]REMUN. ACUM 2024'!$D$28</f>
        <v>239382.74281080783</v>
      </c>
      <c r="M52" s="12">
        <f>'[1]REMUN. ACUM 2024'!$D$30</f>
        <v>238210.95272990939</v>
      </c>
      <c r="N52" s="13">
        <f t="shared" si="16"/>
        <v>2840409.6001164345</v>
      </c>
    </row>
    <row r="53" spans="1:14" x14ac:dyDescent="0.25">
      <c r="A53" s="11" t="str">
        <f t="shared" si="14"/>
        <v>Subsídio Tarifário = (1)-(2)-(3)-(4) (R$)</v>
      </c>
      <c r="B53" s="12">
        <f>B47-B50-B51-B52</f>
        <v>19751736.147063553</v>
      </c>
      <c r="C53" s="12">
        <f t="shared" ref="C53:M53" si="20">C47-C50-C51-C52</f>
        <v>16472264.062852655</v>
      </c>
      <c r="D53" s="12">
        <f t="shared" si="20"/>
        <v>16938832.028338373</v>
      </c>
      <c r="E53" s="12">
        <f t="shared" si="20"/>
        <v>16743690.89924963</v>
      </c>
      <c r="F53" s="12">
        <f t="shared" si="20"/>
        <v>18020375.600097176</v>
      </c>
      <c r="G53" s="12">
        <f t="shared" si="20"/>
        <v>17262376.105406404</v>
      </c>
      <c r="H53" s="12">
        <f t="shared" si="20"/>
        <v>18204247.493242297</v>
      </c>
      <c r="I53" s="12">
        <f t="shared" si="20"/>
        <v>17294926.162342291</v>
      </c>
      <c r="J53" s="12">
        <f t="shared" si="20"/>
        <v>15502127.883036664</v>
      </c>
      <c r="K53" s="12">
        <f t="shared" si="20"/>
        <v>15316129.345048849</v>
      </c>
      <c r="L53" s="12">
        <f t="shared" si="20"/>
        <v>13734859.757683193</v>
      </c>
      <c r="M53" s="12">
        <f t="shared" si="20"/>
        <v>16297471.213125689</v>
      </c>
      <c r="N53" s="13">
        <f t="shared" si="16"/>
        <v>201539036.69748676</v>
      </c>
    </row>
    <row r="54" spans="1:14" x14ac:dyDescent="0.25">
      <c r="A54" s="11" t="str">
        <f t="shared" si="14"/>
        <v>Gerenciamento CETURB (5% do subsídio) (R$)</v>
      </c>
      <c r="B54" s="12">
        <f>B53*0.05</f>
        <v>987586.80735317769</v>
      </c>
      <c r="C54" s="12">
        <f t="shared" ref="C54:M54" si="21">C53*0.05</f>
        <v>823613.20314263273</v>
      </c>
      <c r="D54" s="12">
        <f t="shared" si="21"/>
        <v>846941.60141691868</v>
      </c>
      <c r="E54" s="12">
        <f t="shared" si="21"/>
        <v>837184.5449624816</v>
      </c>
      <c r="F54" s="12">
        <f t="shared" si="21"/>
        <v>901018.78000485885</v>
      </c>
      <c r="G54" s="12">
        <f t="shared" si="21"/>
        <v>863118.80527032027</v>
      </c>
      <c r="H54" s="12">
        <f t="shared" si="21"/>
        <v>910212.37466211489</v>
      </c>
      <c r="I54" s="12">
        <f t="shared" si="21"/>
        <v>864746.30811711459</v>
      </c>
      <c r="J54" s="12">
        <f t="shared" si="21"/>
        <v>775106.39415183326</v>
      </c>
      <c r="K54" s="12">
        <f t="shared" si="21"/>
        <v>765806.4672524425</v>
      </c>
      <c r="L54" s="12">
        <f t="shared" si="21"/>
        <v>686742.98788415967</v>
      </c>
      <c r="M54" s="12">
        <f t="shared" si="21"/>
        <v>814873.56065628445</v>
      </c>
      <c r="N54" s="13">
        <f t="shared" si="16"/>
        <v>10076951.834874341</v>
      </c>
    </row>
    <row r="55" spans="1:14" x14ac:dyDescent="0.25">
      <c r="A55" s="11" t="str">
        <f t="shared" si="14"/>
        <v>IPK - Índice de passageiro por km</v>
      </c>
      <c r="B55" s="14">
        <f t="shared" ref="B55:N55" si="22">B73/B57</f>
        <v>1.3332921255584369</v>
      </c>
      <c r="C55" s="14">
        <f t="shared" si="22"/>
        <v>1.4356387731611584</v>
      </c>
      <c r="D55" s="14">
        <f t="shared" si="22"/>
        <v>1.4999300108976483</v>
      </c>
      <c r="E55" s="14">
        <f t="shared" si="22"/>
        <v>1.5304554178137535</v>
      </c>
      <c r="F55" s="14">
        <f t="shared" si="22"/>
        <v>1.4774211514585396</v>
      </c>
      <c r="G55" s="14">
        <f t="shared" si="22"/>
        <v>1.4911655724013302</v>
      </c>
      <c r="H55" s="14">
        <f t="shared" si="22"/>
        <v>1.4633920682174448</v>
      </c>
      <c r="I55" s="14">
        <f t="shared" si="22"/>
        <v>1.5300448836436802</v>
      </c>
      <c r="J55" s="14">
        <f t="shared" si="22"/>
        <v>1.5589468574480834</v>
      </c>
      <c r="K55" s="14">
        <f t="shared" si="22"/>
        <v>1.5832573864205797</v>
      </c>
      <c r="L55" s="14">
        <f t="shared" si="22"/>
        <v>1.5949960533210705</v>
      </c>
      <c r="M55" s="14">
        <f t="shared" si="22"/>
        <v>1.4582870309661908</v>
      </c>
      <c r="N55" s="16">
        <f t="shared" si="22"/>
        <v>1.4953608564842793</v>
      </c>
    </row>
    <row r="56" spans="1:14" x14ac:dyDescent="0.25">
      <c r="A56" s="11" t="str">
        <f t="shared" si="14"/>
        <v>Passageiro por Viagem</v>
      </c>
      <c r="B56" s="17">
        <f t="shared" ref="B56:N56" si="23">B73/B58</f>
        <v>41.203693983717081</v>
      </c>
      <c r="C56" s="17">
        <f t="shared" si="23"/>
        <v>44.439822248068879</v>
      </c>
      <c r="D56" s="17">
        <f t="shared" si="23"/>
        <v>46.469557989906477</v>
      </c>
      <c r="E56" s="17">
        <f t="shared" si="23"/>
        <v>47.293091780670821</v>
      </c>
      <c r="F56" s="17">
        <f t="shared" si="23"/>
        <v>45.742656229268938</v>
      </c>
      <c r="G56" s="17">
        <f t="shared" si="23"/>
        <v>46.089986468200273</v>
      </c>
      <c r="H56" s="17">
        <f t="shared" si="23"/>
        <v>45.132944761882918</v>
      </c>
      <c r="I56" s="17">
        <f t="shared" si="23"/>
        <v>46.986336143589035</v>
      </c>
      <c r="J56" s="17">
        <f t="shared" si="23"/>
        <v>47.326947182146633</v>
      </c>
      <c r="K56" s="17">
        <f t="shared" si="23"/>
        <v>48.116818238519251</v>
      </c>
      <c r="L56" s="17">
        <f t="shared" si="23"/>
        <v>49.880526102711151</v>
      </c>
      <c r="M56" s="17">
        <f t="shared" si="23"/>
        <v>45.574306181568538</v>
      </c>
      <c r="N56" s="19">
        <f t="shared" si="23"/>
        <v>46.152638317248929</v>
      </c>
    </row>
    <row r="57" spans="1:14" x14ac:dyDescent="0.25">
      <c r="A57" s="11" t="str">
        <f t="shared" si="14"/>
        <v>Km Remunerada</v>
      </c>
      <c r="B57" s="12">
        <f>'[2]ROM Estatistica'!$G$8</f>
        <v>5299000.0200000005</v>
      </c>
      <c r="C57" s="12">
        <f>'[3]ROM Estatistica'!$G$8</f>
        <v>4896977.66</v>
      </c>
      <c r="D57" s="12">
        <f>'[4]ROM Estatistica'!$G$8</f>
        <v>5181163.75</v>
      </c>
      <c r="E57" s="12">
        <f>'[5]ROM Estatistica'!$G$8</f>
        <v>5182784.75</v>
      </c>
      <c r="F57" s="12">
        <f>'[6]ROM Estatistica'!$G$8</f>
        <v>5250469.0299999993</v>
      </c>
      <c r="G57" s="12">
        <f>'[7]ROM Estatistica'!$G$8</f>
        <v>5070819.1900000004</v>
      </c>
      <c r="H57" s="12">
        <f>'[8]ROM Estatistica'!$G$8</f>
        <v>5378710.9900000002</v>
      </c>
      <c r="I57" s="12">
        <f>'[9]ROM Estatistica'!$G$8</f>
        <v>5310774.2699999996</v>
      </c>
      <c r="J57" s="12">
        <f>'[10]ROM Estatistica'!$G$8</f>
        <v>4940749.5599999996</v>
      </c>
      <c r="K57" s="12">
        <f>'[11]ROM Estatistica'!$G$8</f>
        <v>5116238.25</v>
      </c>
      <c r="L57" s="12">
        <f>'[12]ROM Estatistica'!$G$8</f>
        <v>4673410.3099999996</v>
      </c>
      <c r="M57" s="12">
        <f>'[13]ROM Estatistica'!$G$8</f>
        <v>4870881.2800000003</v>
      </c>
      <c r="N57" s="13">
        <f>SUM(B57:M57)</f>
        <v>61171979.060000002</v>
      </c>
    </row>
    <row r="58" spans="1:14" x14ac:dyDescent="0.25">
      <c r="A58" s="11" t="str">
        <f t="shared" si="14"/>
        <v>Viagens Remuneradas</v>
      </c>
      <c r="B58" s="12">
        <f>[2]EMP!$C$6</f>
        <v>171468</v>
      </c>
      <c r="C58" s="12">
        <f>[3]EMP!$C$6</f>
        <v>158198</v>
      </c>
      <c r="D58" s="12">
        <f>[4]EMP!$C$6</f>
        <v>167236</v>
      </c>
      <c r="E58" s="12">
        <f>[5]EMP!$C$6</f>
        <v>167720.5</v>
      </c>
      <c r="F58" s="12">
        <f>[6]EMP!$C$6</f>
        <v>169582.5</v>
      </c>
      <c r="G58" s="12">
        <f>[7]EMP!$C$6</f>
        <v>164058</v>
      </c>
      <c r="H58" s="12">
        <f>[8]EMP!$C$6</f>
        <v>174399.5</v>
      </c>
      <c r="I58" s="12">
        <f>[9]EMP!$C$6</f>
        <v>172938</v>
      </c>
      <c r="J58" s="12">
        <f>[10]EMP!$C$6</f>
        <v>162748</v>
      </c>
      <c r="K58" s="12">
        <f>[11]EMP!$C$6</f>
        <v>168347</v>
      </c>
      <c r="L58" s="12">
        <f>[12]EMP!$C$6</f>
        <v>149438.5</v>
      </c>
      <c r="M58" s="12">
        <f>[13]EMP!$C$6</f>
        <v>155858.5</v>
      </c>
      <c r="N58" s="13">
        <f>SUM(B58:M58)</f>
        <v>1981992.5</v>
      </c>
    </row>
    <row r="59" spans="1:14" x14ac:dyDescent="0.25">
      <c r="A59" s="11" t="str">
        <f t="shared" si="14"/>
        <v>P.M.M - Percurso Médio Mensal</v>
      </c>
      <c r="B59" s="21">
        <f t="shared" ref="B59:M59" si="24">B57/B62</f>
        <v>5920.6704134078218</v>
      </c>
      <c r="C59" s="22">
        <f t="shared" si="24"/>
        <v>5471.483418994414</v>
      </c>
      <c r="D59" s="22">
        <f t="shared" si="24"/>
        <v>5789.0097765363125</v>
      </c>
      <c r="E59" s="22">
        <f t="shared" si="24"/>
        <v>5790.8209497206708</v>
      </c>
      <c r="F59" s="22">
        <f t="shared" si="24"/>
        <v>5866.4458435754186</v>
      </c>
      <c r="G59" s="22">
        <f t="shared" si="24"/>
        <v>5665.7197653631292</v>
      </c>
      <c r="H59" s="22">
        <f t="shared" si="24"/>
        <v>6003.0256584821427</v>
      </c>
      <c r="I59" s="22">
        <f t="shared" si="24"/>
        <v>5927.2034263392852</v>
      </c>
      <c r="J59" s="22">
        <f t="shared" si="24"/>
        <v>5582.7678644067792</v>
      </c>
      <c r="K59" s="22">
        <f t="shared" si="24"/>
        <v>5827.1506264236905</v>
      </c>
      <c r="L59" s="22">
        <f t="shared" si="24"/>
        <v>5227.5283109619686</v>
      </c>
      <c r="M59" s="22">
        <f t="shared" si="24"/>
        <v>5448.4130648769578</v>
      </c>
      <c r="N59" s="13">
        <f>AVERAGE(B59:M59)</f>
        <v>5710.0199265907168</v>
      </c>
    </row>
    <row r="60" spans="1:14" x14ac:dyDescent="0.25">
      <c r="A60" s="11" t="str">
        <f t="shared" si="14"/>
        <v>Frota Total</v>
      </c>
      <c r="B60" s="23">
        <f>B63+B65+B67+B69+B71</f>
        <v>984</v>
      </c>
      <c r="C60" s="23">
        <f>C63+C65+C67+C69+C71</f>
        <v>984</v>
      </c>
      <c r="D60" s="23">
        <f t="shared" ref="D60:J60" si="25">D63+D65+D67+D69+D71</f>
        <v>982</v>
      </c>
      <c r="E60" s="23">
        <f t="shared" si="25"/>
        <v>981</v>
      </c>
      <c r="F60" s="23">
        <v>982</v>
      </c>
      <c r="G60" s="23">
        <f t="shared" si="25"/>
        <v>977</v>
      </c>
      <c r="H60" s="23">
        <f t="shared" si="25"/>
        <v>985</v>
      </c>
      <c r="I60" s="23">
        <f t="shared" si="25"/>
        <v>982</v>
      </c>
      <c r="J60" s="23">
        <f t="shared" si="25"/>
        <v>972</v>
      </c>
      <c r="K60" s="23">
        <f>K63+K65+K67+K69+K71</f>
        <v>965</v>
      </c>
      <c r="L60" s="23">
        <f>L63+L65+L67+L69+L71</f>
        <v>981</v>
      </c>
      <c r="M60" s="23">
        <f>M63+M65+M67+M69+M71</f>
        <v>981</v>
      </c>
      <c r="N60" s="24">
        <f>AVERAGE(B60:M60)</f>
        <v>979.66666666666663</v>
      </c>
    </row>
    <row r="61" spans="1:14" x14ac:dyDescent="0.25">
      <c r="A61" s="11" t="str">
        <f t="shared" si="14"/>
        <v xml:space="preserve">Idade Média </v>
      </c>
      <c r="B61" s="12">
        <f>'[14]COMPOSIÇÃO GEVIS'!$K$70</f>
        <v>7.5476429287863587</v>
      </c>
      <c r="C61" s="25">
        <f>'[15]COMPOSIÇÃO GEVIS'!$K$70</f>
        <v>7.5448136958710981</v>
      </c>
      <c r="D61" s="25">
        <v>7.51</v>
      </c>
      <c r="E61" s="25">
        <v>7.47</v>
      </c>
      <c r="F61" s="25">
        <v>7.46</v>
      </c>
      <c r="G61" s="25">
        <v>7.36</v>
      </c>
      <c r="H61" s="25">
        <v>6.95</v>
      </c>
      <c r="I61" s="25">
        <v>6.54</v>
      </c>
      <c r="J61" s="25">
        <v>6.25</v>
      </c>
      <c r="K61" s="25">
        <v>6.21</v>
      </c>
      <c r="L61" s="25">
        <v>6.19</v>
      </c>
      <c r="M61" s="25">
        <v>6.2</v>
      </c>
      <c r="N61" s="13">
        <f>AVERAGE(B61:M61)</f>
        <v>6.936038052054788</v>
      </c>
    </row>
    <row r="62" spans="1:14" x14ac:dyDescent="0.25">
      <c r="A62" s="26" t="str">
        <f t="shared" si="14"/>
        <v>Frota Operante</v>
      </c>
      <c r="B62" s="57">
        <v>895</v>
      </c>
      <c r="C62" s="57">
        <v>895</v>
      </c>
      <c r="D62" s="57">
        <v>895</v>
      </c>
      <c r="E62" s="57">
        <v>895</v>
      </c>
      <c r="F62" s="57">
        <v>895</v>
      </c>
      <c r="G62" s="57">
        <v>895</v>
      </c>
      <c r="H62" s="57">
        <v>896</v>
      </c>
      <c r="I62" s="57">
        <v>896</v>
      </c>
      <c r="J62" s="57">
        <v>885</v>
      </c>
      <c r="K62" s="57">
        <v>878</v>
      </c>
      <c r="L62" s="57">
        <v>894</v>
      </c>
      <c r="M62" s="57">
        <v>894</v>
      </c>
      <c r="N62" s="28">
        <f t="shared" ref="N62:N72" si="26">AVERAGE(B62:M62)</f>
        <v>892.75</v>
      </c>
    </row>
    <row r="63" spans="1:14" x14ac:dyDescent="0.25">
      <c r="A63" s="11" t="str">
        <f t="shared" si="14"/>
        <v xml:space="preserve">Convencional   </v>
      </c>
      <c r="B63" s="57">
        <v>920</v>
      </c>
      <c r="C63" s="57">
        <v>920</v>
      </c>
      <c r="D63" s="57">
        <v>921</v>
      </c>
      <c r="E63" s="57">
        <v>919</v>
      </c>
      <c r="F63" s="57">
        <v>920</v>
      </c>
      <c r="G63" s="57">
        <v>913</v>
      </c>
      <c r="H63" s="57">
        <v>921</v>
      </c>
      <c r="I63" s="57">
        <v>920</v>
      </c>
      <c r="J63" s="57">
        <v>908</v>
      </c>
      <c r="K63" s="57">
        <v>901</v>
      </c>
      <c r="L63" s="57">
        <v>902</v>
      </c>
      <c r="M63" s="57">
        <v>901</v>
      </c>
      <c r="N63" s="29">
        <f t="shared" si="26"/>
        <v>913.83333333333337</v>
      </c>
    </row>
    <row r="64" spans="1:14" x14ac:dyDescent="0.25">
      <c r="A64" s="11" t="str">
        <f t="shared" si="14"/>
        <v xml:space="preserve">Idade Média </v>
      </c>
      <c r="B64" s="58">
        <v>7.48</v>
      </c>
      <c r="C64" s="58">
        <v>7.48</v>
      </c>
      <c r="D64" s="58">
        <v>7.45</v>
      </c>
      <c r="E64" s="58">
        <v>7.44</v>
      </c>
      <c r="F64" s="58">
        <v>7.42</v>
      </c>
      <c r="G64" s="58">
        <v>7.34</v>
      </c>
      <c r="H64" s="58">
        <v>6.91</v>
      </c>
      <c r="I64" s="58">
        <v>6.47</v>
      </c>
      <c r="J64" s="58">
        <v>6.16</v>
      </c>
      <c r="K64" s="58">
        <v>6.13</v>
      </c>
      <c r="L64" s="58">
        <v>6.15</v>
      </c>
      <c r="M64" s="58">
        <v>6.18</v>
      </c>
      <c r="N64" s="13">
        <f t="shared" si="26"/>
        <v>6.8841666666666654</v>
      </c>
    </row>
    <row r="65" spans="1:14" x14ac:dyDescent="0.25">
      <c r="A65" s="11" t="str">
        <f t="shared" si="14"/>
        <v>Articulado</v>
      </c>
      <c r="B65" s="57">
        <v>38</v>
      </c>
      <c r="C65" s="57">
        <v>38</v>
      </c>
      <c r="D65" s="57">
        <v>36</v>
      </c>
      <c r="E65" s="57">
        <v>36</v>
      </c>
      <c r="F65" s="57">
        <v>36</v>
      </c>
      <c r="G65" s="57">
        <v>38</v>
      </c>
      <c r="H65" s="57">
        <v>38</v>
      </c>
      <c r="I65" s="57">
        <v>36</v>
      </c>
      <c r="J65" s="57">
        <v>38</v>
      </c>
      <c r="K65" s="57">
        <v>38</v>
      </c>
      <c r="L65" s="57">
        <v>38</v>
      </c>
      <c r="M65" s="57">
        <v>38</v>
      </c>
      <c r="N65" s="30">
        <f t="shared" si="26"/>
        <v>37.333333333333336</v>
      </c>
    </row>
    <row r="66" spans="1:14" x14ac:dyDescent="0.25">
      <c r="A66" s="11" t="str">
        <f t="shared" si="14"/>
        <v xml:space="preserve">Idade Média </v>
      </c>
      <c r="B66" s="58">
        <v>9.64</v>
      </c>
      <c r="C66" s="58">
        <v>9.5</v>
      </c>
      <c r="D66" s="58">
        <v>9.25</v>
      </c>
      <c r="E66" s="58">
        <v>9.19</v>
      </c>
      <c r="F66" s="58">
        <v>9.19</v>
      </c>
      <c r="G66" s="58">
        <v>8.7100000000000009</v>
      </c>
      <c r="H66" s="58">
        <v>8.7100000000000009</v>
      </c>
      <c r="I66" s="58">
        <v>8.89</v>
      </c>
      <c r="J66" s="58">
        <v>8.84</v>
      </c>
      <c r="K66" s="58">
        <v>8.66</v>
      </c>
      <c r="L66" s="58">
        <v>8.68</v>
      </c>
      <c r="M66" s="58">
        <v>8.68</v>
      </c>
      <c r="N66" s="13">
        <f t="shared" si="26"/>
        <v>8.9949999999999992</v>
      </c>
    </row>
    <row r="67" spans="1:14" x14ac:dyDescent="0.25">
      <c r="A67" s="11" t="str">
        <f t="shared" si="14"/>
        <v>Micro</v>
      </c>
      <c r="B67" s="57">
        <v>25</v>
      </c>
      <c r="C67" s="57">
        <v>25</v>
      </c>
      <c r="D67" s="57">
        <v>25</v>
      </c>
      <c r="E67" s="57">
        <v>25</v>
      </c>
      <c r="F67" s="57">
        <v>25</v>
      </c>
      <c r="G67" s="57">
        <v>25</v>
      </c>
      <c r="H67" s="57">
        <v>25</v>
      </c>
      <c r="I67" s="57">
        <v>25</v>
      </c>
      <c r="J67" s="57">
        <v>25</v>
      </c>
      <c r="K67" s="57">
        <v>25</v>
      </c>
      <c r="L67" s="57">
        <v>25</v>
      </c>
      <c r="M67" s="57">
        <v>25</v>
      </c>
      <c r="N67" s="30">
        <f t="shared" si="26"/>
        <v>25</v>
      </c>
    </row>
    <row r="68" spans="1:14" x14ac:dyDescent="0.25">
      <c r="A68" s="11" t="str">
        <f t="shared" si="14"/>
        <v xml:space="preserve">Idade Média </v>
      </c>
      <c r="B68" s="58">
        <v>7.07</v>
      </c>
      <c r="C68" s="58">
        <v>7.32</v>
      </c>
      <c r="D68" s="58">
        <v>7.32</v>
      </c>
      <c r="E68" s="58">
        <v>6.52</v>
      </c>
      <c r="F68" s="58">
        <v>6.52</v>
      </c>
      <c r="G68" s="58">
        <v>6.52</v>
      </c>
      <c r="H68" s="58">
        <v>5.96</v>
      </c>
      <c r="I68" s="58">
        <v>5.96</v>
      </c>
      <c r="J68" s="58">
        <v>5.96</v>
      </c>
      <c r="K68" s="58">
        <v>5.44</v>
      </c>
      <c r="L68" s="58">
        <v>5.44</v>
      </c>
      <c r="M68" s="58">
        <v>5.44</v>
      </c>
      <c r="N68" s="31">
        <f t="shared" si="26"/>
        <v>6.2891666666666666</v>
      </c>
    </row>
    <row r="69" spans="1:14" x14ac:dyDescent="0.25">
      <c r="A69" s="11" t="str">
        <f t="shared" si="14"/>
        <v>Padron Elétrico</v>
      </c>
      <c r="B69" s="57">
        <v>1</v>
      </c>
      <c r="C69" s="57">
        <v>1</v>
      </c>
      <c r="D69" s="57">
        <v>0</v>
      </c>
      <c r="E69" s="57">
        <v>1</v>
      </c>
      <c r="F69" s="57">
        <v>1</v>
      </c>
      <c r="G69" s="57">
        <v>1</v>
      </c>
      <c r="H69" s="57">
        <v>1</v>
      </c>
      <c r="I69" s="57">
        <v>1</v>
      </c>
      <c r="J69" s="57">
        <v>1</v>
      </c>
      <c r="K69" s="57">
        <v>1</v>
      </c>
      <c r="L69" s="57">
        <v>0</v>
      </c>
      <c r="M69" s="57">
        <v>1</v>
      </c>
      <c r="N69" s="30">
        <f t="shared" si="26"/>
        <v>0.83333333333333337</v>
      </c>
    </row>
    <row r="70" spans="1:14" x14ac:dyDescent="0.25">
      <c r="A70" s="11" t="str">
        <f t="shared" si="14"/>
        <v xml:space="preserve">Idade Média </v>
      </c>
      <c r="B70" s="58">
        <v>1</v>
      </c>
      <c r="C70" s="58">
        <v>1</v>
      </c>
      <c r="D70" s="58">
        <v>0</v>
      </c>
      <c r="E70" s="58">
        <v>1</v>
      </c>
      <c r="F70" s="58">
        <v>1</v>
      </c>
      <c r="G70" s="58">
        <v>1</v>
      </c>
      <c r="H70" s="58">
        <v>1</v>
      </c>
      <c r="I70" s="58">
        <v>1</v>
      </c>
      <c r="J70" s="58">
        <v>1</v>
      </c>
      <c r="K70" s="58">
        <v>1</v>
      </c>
      <c r="L70" s="58">
        <v>0</v>
      </c>
      <c r="M70" s="58">
        <v>1</v>
      </c>
      <c r="N70" s="31">
        <f t="shared" si="26"/>
        <v>0.83333333333333337</v>
      </c>
    </row>
    <row r="71" spans="1:14" x14ac:dyDescent="0.25">
      <c r="A71" s="11" t="str">
        <f t="shared" si="14"/>
        <v>Micro Transcol +Acessível</v>
      </c>
      <c r="B71" s="57">
        <v>0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16</v>
      </c>
      <c r="M71" s="57">
        <v>16</v>
      </c>
      <c r="N71" s="30">
        <f t="shared" si="26"/>
        <v>2.6666666666666665</v>
      </c>
    </row>
    <row r="72" spans="1:14" x14ac:dyDescent="0.25">
      <c r="A72" s="11" t="str">
        <f t="shared" si="14"/>
        <v xml:space="preserve">Idade Média 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3.5</v>
      </c>
      <c r="M72" s="58">
        <v>3.5</v>
      </c>
      <c r="N72" s="31">
        <f t="shared" si="26"/>
        <v>0.58333333333333337</v>
      </c>
    </row>
    <row r="73" spans="1:14" x14ac:dyDescent="0.25">
      <c r="A73" s="11" t="str">
        <f t="shared" si="14"/>
        <v>Demanda Total</v>
      </c>
      <c r="B73" s="32">
        <f t="shared" ref="B73:M73" si="27">SUM(B74:B83)</f>
        <v>7065115</v>
      </c>
      <c r="C73" s="33">
        <f t="shared" si="27"/>
        <v>7030291</v>
      </c>
      <c r="D73" s="33">
        <f t="shared" si="27"/>
        <v>7771383</v>
      </c>
      <c r="E73" s="33">
        <f t="shared" si="27"/>
        <v>7932021</v>
      </c>
      <c r="F73" s="33">
        <f t="shared" si="27"/>
        <v>7757154</v>
      </c>
      <c r="G73" s="33">
        <f t="shared" si="27"/>
        <v>7561431</v>
      </c>
      <c r="H73" s="33">
        <f t="shared" si="27"/>
        <v>7871163</v>
      </c>
      <c r="I73" s="33">
        <f t="shared" si="27"/>
        <v>8125723</v>
      </c>
      <c r="J73" s="33">
        <f t="shared" si="27"/>
        <v>7702366</v>
      </c>
      <c r="K73" s="33">
        <f t="shared" si="27"/>
        <v>8100322</v>
      </c>
      <c r="L73" s="33">
        <f t="shared" si="27"/>
        <v>7454071</v>
      </c>
      <c r="M73" s="33">
        <f t="shared" si="27"/>
        <v>7103143</v>
      </c>
      <c r="N73" s="30">
        <f t="shared" ref="N73:N82" si="28">SUM(B73:M73)</f>
        <v>91474183</v>
      </c>
    </row>
    <row r="74" spans="1:14" x14ac:dyDescent="0.25">
      <c r="A74" s="11" t="str">
        <f t="shared" si="14"/>
        <v>Vale Transporte</v>
      </c>
      <c r="B74" s="34">
        <f>1583639+1891788</f>
        <v>3475427</v>
      </c>
      <c r="C74" s="35">
        <f>2681148+657572</f>
        <v>3338720</v>
      </c>
      <c r="D74" s="35">
        <v>3546637</v>
      </c>
      <c r="E74" s="35">
        <v>3627166</v>
      </c>
      <c r="F74" s="35">
        <v>3592935</v>
      </c>
      <c r="G74" s="35">
        <v>3492204</v>
      </c>
      <c r="H74" s="35">
        <v>3760775</v>
      </c>
      <c r="I74" s="35">
        <v>3784425</v>
      </c>
      <c r="J74" s="35">
        <v>3576152</v>
      </c>
      <c r="K74" s="35">
        <v>3812159</v>
      </c>
      <c r="L74" s="35">
        <v>3438754</v>
      </c>
      <c r="M74" s="35">
        <v>3353613</v>
      </c>
      <c r="N74" s="30">
        <f t="shared" si="28"/>
        <v>42798967</v>
      </c>
    </row>
    <row r="75" spans="1:14" x14ac:dyDescent="0.25">
      <c r="A75" s="36" t="str">
        <f t="shared" si="14"/>
        <v>Cartão Cidadão</v>
      </c>
      <c r="B75" s="37">
        <f>2211717+562586</f>
        <v>2774303</v>
      </c>
      <c r="C75" s="38">
        <f>2645510+127308</f>
        <v>2772818</v>
      </c>
      <c r="D75" s="38">
        <v>2916063</v>
      </c>
      <c r="E75" s="38">
        <v>2824932</v>
      </c>
      <c r="F75" s="38">
        <v>2730237</v>
      </c>
      <c r="G75" s="38">
        <v>2632607</v>
      </c>
      <c r="H75" s="38">
        <v>2831220</v>
      </c>
      <c r="I75" s="38">
        <v>2808509</v>
      </c>
      <c r="J75" s="38">
        <v>2652983</v>
      </c>
      <c r="K75" s="38">
        <v>2776927</v>
      </c>
      <c r="L75" s="38">
        <v>2594122</v>
      </c>
      <c r="M75" s="38">
        <v>2638692</v>
      </c>
      <c r="N75" s="39">
        <f>SUM(B75:M75)</f>
        <v>32953413</v>
      </c>
    </row>
    <row r="76" spans="1:14" x14ac:dyDescent="0.25">
      <c r="A76" s="36" t="str">
        <f t="shared" si="14"/>
        <v>Idoso Gratuito</v>
      </c>
      <c r="B76" s="34">
        <v>576848</v>
      </c>
      <c r="C76" s="35">
        <v>543290</v>
      </c>
      <c r="D76" s="35">
        <v>597084</v>
      </c>
      <c r="E76" s="35">
        <v>617714</v>
      </c>
      <c r="F76" s="35">
        <v>622934</v>
      </c>
      <c r="G76" s="35">
        <v>605721</v>
      </c>
      <c r="H76" s="35">
        <v>644921</v>
      </c>
      <c r="I76" s="35">
        <v>644657</v>
      </c>
      <c r="J76" s="35">
        <v>630747</v>
      </c>
      <c r="K76" s="35">
        <v>652444</v>
      </c>
      <c r="L76" s="35">
        <v>618445</v>
      </c>
      <c r="M76" s="35">
        <v>622240</v>
      </c>
      <c r="N76" s="30">
        <v>7373171</v>
      </c>
    </row>
    <row r="77" spans="1:14" x14ac:dyDescent="0.25">
      <c r="A77" s="11" t="str">
        <f t="shared" si="14"/>
        <v>Passe Escolar (50%)</v>
      </c>
      <c r="B77" s="34">
        <f>37657+44138</f>
        <v>81795</v>
      </c>
      <c r="C77" s="35">
        <f>92506+29386</f>
        <v>121892</v>
      </c>
      <c r="D77" s="35">
        <v>291071</v>
      </c>
      <c r="E77" s="35">
        <v>380323</v>
      </c>
      <c r="F77" s="35">
        <v>360649</v>
      </c>
      <c r="G77" s="35">
        <v>364025</v>
      </c>
      <c r="H77" s="35">
        <v>267703</v>
      </c>
      <c r="I77" s="35">
        <v>379787</v>
      </c>
      <c r="J77" s="35">
        <v>378509</v>
      </c>
      <c r="K77" s="35">
        <v>370867</v>
      </c>
      <c r="L77" s="35">
        <v>366458</v>
      </c>
      <c r="M77" s="35">
        <v>222926</v>
      </c>
      <c r="N77" s="30">
        <f t="shared" si="28"/>
        <v>3586005</v>
      </c>
    </row>
    <row r="78" spans="1:14" x14ac:dyDescent="0.25">
      <c r="A78" s="36" t="str">
        <f t="shared" si="14"/>
        <v>Escolar Gratuito (100%)</v>
      </c>
      <c r="B78" s="34">
        <v>6</v>
      </c>
      <c r="C78" s="35">
        <v>92775</v>
      </c>
      <c r="D78" s="35">
        <v>240618</v>
      </c>
      <c r="E78" s="35">
        <v>294182</v>
      </c>
      <c r="F78" s="35">
        <v>266984</v>
      </c>
      <c r="G78" s="35">
        <v>286932</v>
      </c>
      <c r="H78" s="35">
        <v>177906</v>
      </c>
      <c r="I78" s="35">
        <v>315783</v>
      </c>
      <c r="J78" s="35">
        <v>278188</v>
      </c>
      <c r="K78" s="35">
        <v>296590</v>
      </c>
      <c r="L78" s="35">
        <v>254300</v>
      </c>
      <c r="M78" s="35">
        <v>91839</v>
      </c>
      <c r="N78" s="30">
        <f t="shared" si="28"/>
        <v>2596103</v>
      </c>
    </row>
    <row r="79" spans="1:14" x14ac:dyDescent="0.25">
      <c r="A79" s="36" t="str">
        <f t="shared" si="14"/>
        <v>Deficiente Gratuito (100%)</v>
      </c>
      <c r="B79" s="37">
        <v>117204</v>
      </c>
      <c r="C79" s="38">
        <v>121761</v>
      </c>
      <c r="D79" s="38">
        <v>137782</v>
      </c>
      <c r="E79" s="38">
        <v>142542</v>
      </c>
      <c r="F79" s="38">
        <v>138940</v>
      </c>
      <c r="G79" s="38">
        <v>136576</v>
      </c>
      <c r="H79" s="38">
        <v>139887</v>
      </c>
      <c r="I79" s="38">
        <v>143335</v>
      </c>
      <c r="J79" s="38">
        <v>138095</v>
      </c>
      <c r="K79" s="38">
        <v>140372</v>
      </c>
      <c r="L79" s="38">
        <v>136314</v>
      </c>
      <c r="M79" s="38">
        <v>127788</v>
      </c>
      <c r="N79" s="39">
        <f t="shared" si="28"/>
        <v>1620596</v>
      </c>
    </row>
    <row r="80" spans="1:14" x14ac:dyDescent="0.25">
      <c r="A80" s="11" t="str">
        <f t="shared" si="14"/>
        <v>Integrado</v>
      </c>
      <c r="B80" s="59">
        <v>37487</v>
      </c>
      <c r="C80" s="60">
        <v>37134</v>
      </c>
      <c r="D80" s="60">
        <v>40244</v>
      </c>
      <c r="E80" s="60">
        <v>43073</v>
      </c>
      <c r="F80" s="60">
        <v>42477</v>
      </c>
      <c r="G80" s="60">
        <v>41492</v>
      </c>
      <c r="H80" s="60">
        <v>46758</v>
      </c>
      <c r="I80" s="60">
        <v>47226</v>
      </c>
      <c r="J80" s="60">
        <v>45550</v>
      </c>
      <c r="K80" s="60">
        <v>48711</v>
      </c>
      <c r="L80" s="60">
        <v>43738</v>
      </c>
      <c r="M80" s="60">
        <v>44146</v>
      </c>
      <c r="N80" s="30">
        <f>SUM(B80:M80)</f>
        <v>518036</v>
      </c>
    </row>
    <row r="81" spans="1:14" x14ac:dyDescent="0.25">
      <c r="A81" s="40" t="str">
        <f t="shared" si="14"/>
        <v>Passe Livre (Gratuito)</v>
      </c>
      <c r="B81" s="41">
        <v>2045</v>
      </c>
      <c r="C81" s="42">
        <v>1803</v>
      </c>
      <c r="D81" s="42">
        <v>1701</v>
      </c>
      <c r="E81" s="42">
        <v>1833</v>
      </c>
      <c r="F81" s="42">
        <v>1761</v>
      </c>
      <c r="G81" s="42">
        <v>1659</v>
      </c>
      <c r="H81" s="42">
        <v>1858</v>
      </c>
      <c r="I81" s="42">
        <v>1728</v>
      </c>
      <c r="J81" s="42">
        <v>1875</v>
      </c>
      <c r="K81" s="42">
        <v>2010</v>
      </c>
      <c r="L81" s="42">
        <v>1650</v>
      </c>
      <c r="M81" s="42">
        <v>1735</v>
      </c>
      <c r="N81" s="43">
        <f>SUM(B81:M81)</f>
        <v>21658</v>
      </c>
    </row>
    <row r="82" spans="1:14" ht="15.75" thickBot="1" x14ac:dyDescent="0.3">
      <c r="A82" s="44" t="str">
        <f t="shared" si="14"/>
        <v xml:space="preserve">Vale Especial </v>
      </c>
      <c r="B82" s="45">
        <v>0</v>
      </c>
      <c r="C82" s="46">
        <f>88+10</f>
        <v>98</v>
      </c>
      <c r="D82" s="46">
        <v>183</v>
      </c>
      <c r="E82" s="46">
        <v>256</v>
      </c>
      <c r="F82" s="46">
        <v>237</v>
      </c>
      <c r="G82" s="46">
        <v>215</v>
      </c>
      <c r="H82" s="46">
        <v>135</v>
      </c>
      <c r="I82" s="46">
        <v>273</v>
      </c>
      <c r="J82" s="46">
        <v>267</v>
      </c>
      <c r="K82" s="46">
        <v>242</v>
      </c>
      <c r="L82" s="46">
        <v>290</v>
      </c>
      <c r="M82" s="46">
        <v>164</v>
      </c>
      <c r="N82" s="47">
        <f t="shared" si="28"/>
        <v>2360</v>
      </c>
    </row>
    <row r="83" spans="1:14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1:14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9"/>
    </row>
    <row r="86" spans="1:14" ht="24.75" thickBot="1" x14ac:dyDescent="0.3">
      <c r="A86" s="81" t="s">
        <v>49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2" t="str">
        <f>N2</f>
        <v>Ano:2024</v>
      </c>
    </row>
    <row r="87" spans="1:14" ht="16.5" thickBot="1" x14ac:dyDescent="0.3">
      <c r="A87" s="3" t="s">
        <v>2</v>
      </c>
      <c r="B87" s="4" t="s">
        <v>3</v>
      </c>
      <c r="C87" s="5" t="s">
        <v>4</v>
      </c>
      <c r="D87" s="5" t="s">
        <v>5</v>
      </c>
      <c r="E87" s="5" t="s">
        <v>6</v>
      </c>
      <c r="F87" s="5" t="s">
        <v>7</v>
      </c>
      <c r="G87" s="5" t="s">
        <v>8</v>
      </c>
      <c r="H87" s="5" t="s">
        <v>9</v>
      </c>
      <c r="I87" s="5" t="s">
        <v>10</v>
      </c>
      <c r="J87" s="5" t="s">
        <v>11</v>
      </c>
      <c r="K87" s="5" t="s">
        <v>12</v>
      </c>
      <c r="L87" s="5" t="s">
        <v>13</v>
      </c>
      <c r="M87" s="61" t="s">
        <v>14</v>
      </c>
      <c r="N87" s="6" t="s">
        <v>15</v>
      </c>
    </row>
    <row r="88" spans="1:14" x14ac:dyDescent="0.25">
      <c r="A88" s="53" t="str">
        <f t="shared" ref="A88:A124" si="29">A4</f>
        <v>Custo Por KM  (R$/km)</v>
      </c>
      <c r="B88" s="54">
        <f t="shared" ref="B88:N88" si="30">B89/B99</f>
        <v>9.1800186489592086</v>
      </c>
      <c r="C88" s="55">
        <f t="shared" si="30"/>
        <v>9.3502020144422353</v>
      </c>
      <c r="D88" s="55">
        <f t="shared" si="30"/>
        <v>9.3492799893930556</v>
      </c>
      <c r="E88" s="55">
        <f t="shared" si="30"/>
        <v>9.3499083829804306</v>
      </c>
      <c r="F88" s="55">
        <f t="shared" si="30"/>
        <v>9.3494672869377933</v>
      </c>
      <c r="G88" s="55">
        <f t="shared" si="30"/>
        <v>9.3498137645459973</v>
      </c>
      <c r="H88" s="55">
        <f t="shared" si="30"/>
        <v>9.3501597647569028</v>
      </c>
      <c r="I88" s="55">
        <f t="shared" si="30"/>
        <v>9.3502799530576706</v>
      </c>
      <c r="J88" s="55">
        <f t="shared" si="30"/>
        <v>9.344216022183284</v>
      </c>
      <c r="K88" s="55">
        <f t="shared" si="30"/>
        <v>9.3499824300047401</v>
      </c>
      <c r="L88" s="55">
        <f t="shared" si="30"/>
        <v>9.350804487062879</v>
      </c>
      <c r="M88" s="62">
        <f t="shared" si="30"/>
        <v>9.3517787453897068</v>
      </c>
      <c r="N88" s="56">
        <f t="shared" si="30"/>
        <v>9.3349523882433072</v>
      </c>
    </row>
    <row r="89" spans="1:14" x14ac:dyDescent="0.25">
      <c r="A89" s="11" t="str">
        <f t="shared" si="29"/>
        <v>(1) Custo Total   (R$)</v>
      </c>
      <c r="B89" s="12">
        <f t="shared" ref="B89:M96" si="31">B5+B47</f>
        <v>89974421.50999999</v>
      </c>
      <c r="C89" s="25">
        <f t="shared" si="31"/>
        <v>84732832.390000001</v>
      </c>
      <c r="D89" s="25">
        <f t="shared" si="31"/>
        <v>90022936.25999999</v>
      </c>
      <c r="E89" s="25">
        <f t="shared" si="31"/>
        <v>89796585.840000004</v>
      </c>
      <c r="F89" s="25">
        <f t="shared" si="31"/>
        <v>91150139.120000005</v>
      </c>
      <c r="G89" s="25">
        <f t="shared" si="31"/>
        <v>87894109.849999994</v>
      </c>
      <c r="H89" s="25">
        <f t="shared" si="31"/>
        <v>93085981.550000012</v>
      </c>
      <c r="I89" s="25">
        <f t="shared" si="31"/>
        <v>92289812.210000008</v>
      </c>
      <c r="J89" s="25">
        <f t="shared" si="31"/>
        <v>85830891.200000003</v>
      </c>
      <c r="K89" s="25">
        <f t="shared" si="31"/>
        <v>88614123.189999998</v>
      </c>
      <c r="L89" s="25">
        <f t="shared" si="31"/>
        <v>80646226.310000002</v>
      </c>
      <c r="M89" s="63">
        <f t="shared" si="31"/>
        <v>83688818.299999997</v>
      </c>
      <c r="N89" s="13">
        <f t="shared" ref="N89:N96" si="32">SUM(B89:M89)</f>
        <v>1057726877.73</v>
      </c>
    </row>
    <row r="90" spans="1:14" x14ac:dyDescent="0.25">
      <c r="A90" s="11" t="str">
        <f t="shared" si="29"/>
        <v>Receita Arrecadada Efetiva (R$)</v>
      </c>
      <c r="B90" s="12">
        <f t="shared" si="31"/>
        <v>55184931.909999996</v>
      </c>
      <c r="C90" s="25">
        <f t="shared" si="31"/>
        <v>55812219.5</v>
      </c>
      <c r="D90" s="25">
        <f t="shared" si="31"/>
        <v>60234838.019999996</v>
      </c>
      <c r="E90" s="25">
        <f t="shared" si="31"/>
        <v>60453384.740000002</v>
      </c>
      <c r="F90" s="25">
        <f t="shared" si="31"/>
        <v>59391904.960000001</v>
      </c>
      <c r="G90" s="25">
        <f t="shared" si="31"/>
        <v>57515979.75</v>
      </c>
      <c r="H90" s="25">
        <f t="shared" si="31"/>
        <v>61138234.199999996</v>
      </c>
      <c r="I90" s="25">
        <f t="shared" si="31"/>
        <v>61882162.519999996</v>
      </c>
      <c r="J90" s="25">
        <f t="shared" si="31"/>
        <v>58605789.640000001</v>
      </c>
      <c r="K90" s="25">
        <f t="shared" si="31"/>
        <v>61901023.030000001</v>
      </c>
      <c r="L90" s="25">
        <f t="shared" si="31"/>
        <v>56769701.549999997</v>
      </c>
      <c r="M90" s="63">
        <f t="shared" si="31"/>
        <v>55292928.870000005</v>
      </c>
      <c r="N90" s="13">
        <f t="shared" si="32"/>
        <v>704183098.68999994</v>
      </c>
    </row>
    <row r="91" spans="1:14" x14ac:dyDescent="0.25">
      <c r="A91" s="11" t="str">
        <f t="shared" si="29"/>
        <v>Gerenciamento CETURB (5% da receita) (R$)</v>
      </c>
      <c r="B91" s="12">
        <f t="shared" si="31"/>
        <v>2759246.5955000003</v>
      </c>
      <c r="C91" s="25">
        <f t="shared" si="31"/>
        <v>2790610.9750000001</v>
      </c>
      <c r="D91" s="25">
        <f t="shared" si="31"/>
        <v>3011741.9010000001</v>
      </c>
      <c r="E91" s="25">
        <f t="shared" si="31"/>
        <v>3022669.2370000002</v>
      </c>
      <c r="F91" s="25">
        <f t="shared" si="31"/>
        <v>2969595.2480000001</v>
      </c>
      <c r="G91" s="25">
        <f t="shared" si="31"/>
        <v>2875798.9874999998</v>
      </c>
      <c r="H91" s="25">
        <f t="shared" si="31"/>
        <v>3056911.71</v>
      </c>
      <c r="I91" s="25">
        <f t="shared" si="31"/>
        <v>3094108.1260000002</v>
      </c>
      <c r="J91" s="25">
        <f t="shared" si="31"/>
        <v>2930289.4819999998</v>
      </c>
      <c r="K91" s="25">
        <f t="shared" si="31"/>
        <v>3095051.1515000002</v>
      </c>
      <c r="L91" s="25">
        <f t="shared" si="31"/>
        <v>2838485.0775000006</v>
      </c>
      <c r="M91" s="63">
        <f t="shared" si="31"/>
        <v>2764646.4435000001</v>
      </c>
      <c r="N91" s="13">
        <f t="shared" si="32"/>
        <v>35209154.934500001</v>
      </c>
    </row>
    <row r="92" spans="1:14" x14ac:dyDescent="0.25">
      <c r="A92" s="11" t="str">
        <f t="shared" si="29"/>
        <v>(2) Receita Efetiva Líquida(R$)</v>
      </c>
      <c r="B92" s="12">
        <f t="shared" si="31"/>
        <v>52425685.314500004</v>
      </c>
      <c r="C92" s="25">
        <f t="shared" si="31"/>
        <v>53021608.524999999</v>
      </c>
      <c r="D92" s="25">
        <f t="shared" si="31"/>
        <v>57223096.119000003</v>
      </c>
      <c r="E92" s="25">
        <f t="shared" si="31"/>
        <v>57430715.503000006</v>
      </c>
      <c r="F92" s="25">
        <f t="shared" si="31"/>
        <v>56422309.711999997</v>
      </c>
      <c r="G92" s="25">
        <f t="shared" si="31"/>
        <v>54640180.762500003</v>
      </c>
      <c r="H92" s="25">
        <f t="shared" si="31"/>
        <v>58081322.489999995</v>
      </c>
      <c r="I92" s="25">
        <f t="shared" si="31"/>
        <v>58788054.393999994</v>
      </c>
      <c r="J92" s="25">
        <f t="shared" si="31"/>
        <v>55675500.158</v>
      </c>
      <c r="K92" s="25">
        <f t="shared" si="31"/>
        <v>58805971.8785</v>
      </c>
      <c r="L92" s="25">
        <f t="shared" si="31"/>
        <v>53931216.472499996</v>
      </c>
      <c r="M92" s="63">
        <f t="shared" si="31"/>
        <v>52528282.4265</v>
      </c>
      <c r="N92" s="13">
        <f t="shared" si="32"/>
        <v>668973943.75549996</v>
      </c>
    </row>
    <row r="93" spans="1:14" x14ac:dyDescent="0.25">
      <c r="A93" s="11" t="str">
        <f t="shared" si="29"/>
        <v>(3) % Evasão da receita (2,64%) (R$)</v>
      </c>
      <c r="B93" s="12">
        <f t="shared" si="31"/>
        <v>1384038.0923027999</v>
      </c>
      <c r="C93" s="25">
        <f t="shared" si="31"/>
        <v>1399770.4650599998</v>
      </c>
      <c r="D93" s="25">
        <f t="shared" si="31"/>
        <v>1510689.7375416001</v>
      </c>
      <c r="E93" s="25">
        <f t="shared" si="31"/>
        <v>1516170.8892792</v>
      </c>
      <c r="F93" s="25">
        <f t="shared" si="31"/>
        <v>1489548.9763968</v>
      </c>
      <c r="G93" s="25">
        <f t="shared" si="31"/>
        <v>1442500.7721299999</v>
      </c>
      <c r="H93" s="25">
        <f t="shared" si="31"/>
        <v>1533346.913736</v>
      </c>
      <c r="I93" s="25">
        <f t="shared" si="31"/>
        <v>1552004.6360016</v>
      </c>
      <c r="J93" s="25">
        <f t="shared" si="31"/>
        <v>1469833.2041711998</v>
      </c>
      <c r="K93" s="25">
        <f t="shared" si="31"/>
        <v>1552477.6575924</v>
      </c>
      <c r="L93" s="25">
        <f t="shared" si="31"/>
        <v>1423784.114874</v>
      </c>
      <c r="M93" s="63">
        <f t="shared" si="31"/>
        <v>1386746.6560595999</v>
      </c>
      <c r="N93" s="13">
        <f t="shared" si="32"/>
        <v>17660912.115145199</v>
      </c>
    </row>
    <row r="94" spans="1:14" x14ac:dyDescent="0.25">
      <c r="A94" s="11" t="str">
        <f t="shared" si="29"/>
        <v>(4) Receitas Acessórias (R$)</v>
      </c>
      <c r="B94" s="12">
        <f t="shared" si="31"/>
        <v>414441.89677416661</v>
      </c>
      <c r="C94" s="25">
        <f t="shared" si="31"/>
        <v>420656.79240249994</v>
      </c>
      <c r="D94" s="25">
        <f t="shared" si="31"/>
        <v>424583.75506875</v>
      </c>
      <c r="E94" s="25">
        <f t="shared" si="31"/>
        <v>424312.33981499996</v>
      </c>
      <c r="F94" s="25">
        <f t="shared" si="31"/>
        <v>430345.71721541672</v>
      </c>
      <c r="G94" s="25">
        <f t="shared" si="31"/>
        <v>432197.51770395826</v>
      </c>
      <c r="H94" s="25">
        <f t="shared" si="31"/>
        <v>433061.41551354167</v>
      </c>
      <c r="I94" s="25">
        <f t="shared" si="31"/>
        <v>434801.88066145824</v>
      </c>
      <c r="J94" s="25">
        <f t="shared" si="31"/>
        <v>434974.06927395833</v>
      </c>
      <c r="K94" s="25">
        <f t="shared" si="31"/>
        <v>434995.36398229166</v>
      </c>
      <c r="L94" s="25">
        <f t="shared" si="31"/>
        <v>434959.06049166666</v>
      </c>
      <c r="M94" s="63">
        <f t="shared" si="31"/>
        <v>432803.82909999997</v>
      </c>
      <c r="N94" s="13">
        <f t="shared" si="32"/>
        <v>5152133.6380027086</v>
      </c>
    </row>
    <row r="95" spans="1:14" x14ac:dyDescent="0.25">
      <c r="A95" s="11" t="str">
        <f t="shared" si="29"/>
        <v>Subsídio Tarifário = (1)-(2)-(3)-(4) (R$)</v>
      </c>
      <c r="B95" s="12">
        <f t="shared" si="31"/>
        <v>35750256.206423029</v>
      </c>
      <c r="C95" s="25">
        <f t="shared" si="31"/>
        <v>29890796.607537501</v>
      </c>
      <c r="D95" s="25">
        <f t="shared" si="31"/>
        <v>30864566.648389645</v>
      </c>
      <c r="E95" s="25">
        <f t="shared" si="31"/>
        <v>30425387.107905794</v>
      </c>
      <c r="F95" s="25">
        <f t="shared" si="31"/>
        <v>32807934.714387793</v>
      </c>
      <c r="G95" s="25">
        <f t="shared" si="31"/>
        <v>31379230.797666043</v>
      </c>
      <c r="H95" s="25">
        <f t="shared" si="31"/>
        <v>33038250.730750471</v>
      </c>
      <c r="I95" s="25">
        <f t="shared" si="31"/>
        <v>31514951.299336948</v>
      </c>
      <c r="J95" s="25">
        <f t="shared" si="31"/>
        <v>28250583.768554844</v>
      </c>
      <c r="K95" s="25">
        <f t="shared" si="31"/>
        <v>27820678.289925307</v>
      </c>
      <c r="L95" s="25">
        <f t="shared" si="31"/>
        <v>24856266.662134334</v>
      </c>
      <c r="M95" s="63">
        <f t="shared" si="31"/>
        <v>29340985.388340399</v>
      </c>
      <c r="N95" s="13">
        <f t="shared" si="32"/>
        <v>365939888.2213521</v>
      </c>
    </row>
    <row r="96" spans="1:14" x14ac:dyDescent="0.25">
      <c r="A96" s="11" t="str">
        <f t="shared" si="29"/>
        <v>Gerenciamento CETURB (5% do subsídio) (R$)</v>
      </c>
      <c r="B96" s="12">
        <f t="shared" si="31"/>
        <v>1787512.8103211515</v>
      </c>
      <c r="C96" s="25">
        <f t="shared" si="31"/>
        <v>1494539.8303768751</v>
      </c>
      <c r="D96" s="25">
        <f t="shared" si="31"/>
        <v>1543228.3324194825</v>
      </c>
      <c r="E96" s="25">
        <f t="shared" si="31"/>
        <v>1521269.3553952898</v>
      </c>
      <c r="F96" s="25">
        <f t="shared" si="31"/>
        <v>1640396.7357193897</v>
      </c>
      <c r="G96" s="25">
        <f t="shared" si="31"/>
        <v>1568961.5398833023</v>
      </c>
      <c r="H96" s="25">
        <f t="shared" si="31"/>
        <v>1651912.5365375234</v>
      </c>
      <c r="I96" s="25">
        <f t="shared" si="31"/>
        <v>1575747.5649668472</v>
      </c>
      <c r="J96" s="25">
        <f t="shared" si="31"/>
        <v>1412529.1884277423</v>
      </c>
      <c r="K96" s="25">
        <f t="shared" si="31"/>
        <v>1391033.9144962654</v>
      </c>
      <c r="L96" s="25">
        <f t="shared" si="31"/>
        <v>1242813.3331067169</v>
      </c>
      <c r="M96" s="63">
        <f t="shared" si="31"/>
        <v>1467049.26941702</v>
      </c>
      <c r="N96" s="13">
        <f t="shared" si="32"/>
        <v>18296994.411067605</v>
      </c>
    </row>
    <row r="97" spans="1:14" x14ac:dyDescent="0.25">
      <c r="A97" s="11" t="str">
        <f t="shared" si="29"/>
        <v>IPK - Índice de passageiro por km</v>
      </c>
      <c r="B97" s="14">
        <f t="shared" ref="B97:N97" si="33">B115/B99</f>
        <v>1.3846663918401214</v>
      </c>
      <c r="C97" s="15">
        <f t="shared" si="33"/>
        <v>1.4920189010294194</v>
      </c>
      <c r="D97" s="15">
        <f t="shared" si="33"/>
        <v>1.5563457476169869</v>
      </c>
      <c r="E97" s="15">
        <f t="shared" si="33"/>
        <v>1.5893218270582625</v>
      </c>
      <c r="F97" s="15">
        <f t="shared" si="33"/>
        <v>1.5356731472418206</v>
      </c>
      <c r="G97" s="15">
        <f t="shared" si="33"/>
        <v>1.5519339625310942</v>
      </c>
      <c r="H97" s="15">
        <f t="shared" si="33"/>
        <v>1.5190638631768429</v>
      </c>
      <c r="I97" s="15">
        <f t="shared" si="33"/>
        <v>1.5865806956809265</v>
      </c>
      <c r="J97" s="15">
        <f t="shared" si="33"/>
        <v>1.6180535782072412</v>
      </c>
      <c r="K97" s="15">
        <f t="shared" si="33"/>
        <v>1.6487708915773327</v>
      </c>
      <c r="L97" s="15">
        <f t="shared" si="33"/>
        <v>1.6673179915932694</v>
      </c>
      <c r="M97" s="64">
        <f t="shared" si="33"/>
        <v>1.5210037558163234</v>
      </c>
      <c r="N97" s="65">
        <f t="shared" si="33"/>
        <v>1.5547478332308899</v>
      </c>
    </row>
    <row r="98" spans="1:14" x14ac:dyDescent="0.25">
      <c r="A98" s="11" t="str">
        <f t="shared" si="29"/>
        <v>Passageiro por Viagem</v>
      </c>
      <c r="B98" s="17">
        <f>B115/B100</f>
        <v>39.04206336762978</v>
      </c>
      <c r="C98" s="17">
        <f t="shared" ref="C98:N98" si="34">C115/C100</f>
        <v>42.155143869976087</v>
      </c>
      <c r="D98" s="17">
        <f t="shared" si="34"/>
        <v>44.045038928517897</v>
      </c>
      <c r="E98" s="17">
        <f t="shared" si="34"/>
        <v>44.939101710110066</v>
      </c>
      <c r="F98" s="17">
        <f t="shared" si="34"/>
        <v>43.497793389174099</v>
      </c>
      <c r="G98" s="17">
        <f t="shared" si="34"/>
        <v>43.934561103155851</v>
      </c>
      <c r="H98" s="17">
        <f t="shared" si="34"/>
        <v>42.903734721176093</v>
      </c>
      <c r="I98" s="17">
        <f t="shared" si="34"/>
        <v>44.682808799611948</v>
      </c>
      <c r="J98" s="17">
        <f t="shared" si="34"/>
        <v>45.033287378611362</v>
      </c>
      <c r="K98" s="17">
        <f t="shared" si="34"/>
        <v>45.958165751738562</v>
      </c>
      <c r="L98" s="17">
        <f t="shared" si="34"/>
        <v>47.64804294341311</v>
      </c>
      <c r="M98" s="17">
        <f t="shared" si="34"/>
        <v>43.444151690745706</v>
      </c>
      <c r="N98" s="19">
        <f t="shared" si="34"/>
        <v>43.903073950329777</v>
      </c>
    </row>
    <row r="99" spans="1:14" x14ac:dyDescent="0.25">
      <c r="A99" s="11" t="str">
        <f t="shared" si="29"/>
        <v>Km Remunerada</v>
      </c>
      <c r="B99" s="12">
        <f t="shared" ref="B99:M100" si="35">B15+B57</f>
        <v>9801115.3300000001</v>
      </c>
      <c r="C99" s="25">
        <f t="shared" si="35"/>
        <v>9062139.2200000007</v>
      </c>
      <c r="D99" s="25">
        <f t="shared" si="35"/>
        <v>9628863.0099999998</v>
      </c>
      <c r="E99" s="25">
        <f t="shared" si="35"/>
        <v>9604007.0300000012</v>
      </c>
      <c r="F99" s="25">
        <f t="shared" si="35"/>
        <v>9749233.4399999995</v>
      </c>
      <c r="G99" s="25">
        <f t="shared" si="35"/>
        <v>9400626.8000000007</v>
      </c>
      <c r="H99" s="25">
        <f t="shared" si="35"/>
        <v>9955549.8399999999</v>
      </c>
      <c r="I99" s="25">
        <f t="shared" si="35"/>
        <v>9870272.6199999992</v>
      </c>
      <c r="J99" s="25">
        <f t="shared" si="35"/>
        <v>9185456.6500000004</v>
      </c>
      <c r="K99" s="25">
        <f t="shared" si="35"/>
        <v>9477464.1400000006</v>
      </c>
      <c r="L99" s="25">
        <f t="shared" si="35"/>
        <v>8624522.7799999993</v>
      </c>
      <c r="M99" s="63">
        <f t="shared" si="35"/>
        <v>8948973.3000000007</v>
      </c>
      <c r="N99" s="13">
        <f>SUM(B99:M99)</f>
        <v>113308224.16000001</v>
      </c>
    </row>
    <row r="100" spans="1:14" x14ac:dyDescent="0.25">
      <c r="A100" s="11" t="str">
        <f t="shared" si="29"/>
        <v>Viagens Remuneradas</v>
      </c>
      <c r="B100" s="12">
        <f t="shared" si="35"/>
        <v>347606.5</v>
      </c>
      <c r="C100" s="25">
        <f t="shared" si="35"/>
        <v>320741</v>
      </c>
      <c r="D100" s="25">
        <f t="shared" si="35"/>
        <v>340239</v>
      </c>
      <c r="E100" s="25">
        <f t="shared" si="35"/>
        <v>339656.5</v>
      </c>
      <c r="F100" s="25">
        <f t="shared" si="35"/>
        <v>344193</v>
      </c>
      <c r="G100" s="25">
        <f t="shared" si="35"/>
        <v>332065.5</v>
      </c>
      <c r="H100" s="25">
        <f t="shared" si="35"/>
        <v>352489.5</v>
      </c>
      <c r="I100" s="25">
        <f t="shared" si="35"/>
        <v>350470</v>
      </c>
      <c r="J100" s="25">
        <f t="shared" si="35"/>
        <v>330035</v>
      </c>
      <c r="K100" s="25">
        <f t="shared" si="35"/>
        <v>340008.5</v>
      </c>
      <c r="L100" s="25">
        <f t="shared" si="35"/>
        <v>301792.5</v>
      </c>
      <c r="M100" s="63">
        <f t="shared" si="35"/>
        <v>313308.5</v>
      </c>
      <c r="N100" s="13">
        <f>SUM(B100:M100)</f>
        <v>4012605.5</v>
      </c>
    </row>
    <row r="101" spans="1:14" x14ac:dyDescent="0.25">
      <c r="A101" s="11" t="str">
        <f t="shared" si="29"/>
        <v>P.M.M - Percurso Médio Mensal</v>
      </c>
      <c r="B101" s="59">
        <f t="shared" ref="B101:M101" si="36">B99/B104</f>
        <v>6042.6111775585696</v>
      </c>
      <c r="C101" s="60">
        <f t="shared" si="36"/>
        <v>5587.0155487053025</v>
      </c>
      <c r="D101" s="60">
        <f t="shared" si="36"/>
        <v>5936.4136929716396</v>
      </c>
      <c r="E101" s="60">
        <f t="shared" si="36"/>
        <v>5921.0894143033302</v>
      </c>
      <c r="F101" s="60">
        <f t="shared" si="36"/>
        <v>6010.6248088779284</v>
      </c>
      <c r="G101" s="60">
        <f t="shared" si="36"/>
        <v>5795.7008631319368</v>
      </c>
      <c r="H101" s="60">
        <f t="shared" si="36"/>
        <v>6137.8235758323053</v>
      </c>
      <c r="I101" s="60">
        <f t="shared" si="36"/>
        <v>6085.248224414303</v>
      </c>
      <c r="J101" s="60">
        <f t="shared" si="36"/>
        <v>5733.7432272159804</v>
      </c>
      <c r="K101" s="60">
        <f t="shared" si="36"/>
        <v>5968.1764105793454</v>
      </c>
      <c r="L101" s="60">
        <f t="shared" si="36"/>
        <v>5346.8833106013635</v>
      </c>
      <c r="M101" s="66">
        <f t="shared" si="36"/>
        <v>5548.0305641661507</v>
      </c>
      <c r="N101" s="13">
        <f>SUM(B101:J101)</f>
        <v>53250.270533011295</v>
      </c>
    </row>
    <row r="102" spans="1:14" x14ac:dyDescent="0.25">
      <c r="A102" s="11" t="str">
        <f t="shared" si="29"/>
        <v>Frota Total</v>
      </c>
      <c r="B102" s="27">
        <f t="shared" ref="B102:M102" si="37">B18+B60</f>
        <v>1783</v>
      </c>
      <c r="C102" s="27">
        <f t="shared" si="37"/>
        <v>1784</v>
      </c>
      <c r="D102" s="27">
        <f t="shared" si="37"/>
        <v>1782</v>
      </c>
      <c r="E102" s="27">
        <f t="shared" si="37"/>
        <v>1778</v>
      </c>
      <c r="F102" s="27">
        <f t="shared" si="37"/>
        <v>1778</v>
      </c>
      <c r="G102" s="27">
        <f t="shared" si="37"/>
        <v>1771</v>
      </c>
      <c r="H102" s="27">
        <f t="shared" si="37"/>
        <v>1783</v>
      </c>
      <c r="I102" s="27">
        <f t="shared" si="37"/>
        <v>1780</v>
      </c>
      <c r="J102" s="27">
        <f t="shared" si="37"/>
        <v>1760</v>
      </c>
      <c r="K102" s="27">
        <f t="shared" si="37"/>
        <v>1745</v>
      </c>
      <c r="L102" s="27">
        <f t="shared" si="37"/>
        <v>1769</v>
      </c>
      <c r="M102" s="27">
        <f t="shared" si="37"/>
        <v>1770</v>
      </c>
      <c r="N102" s="24">
        <f t="shared" ref="N102:N114" si="38">AVERAGE(B102:M102)</f>
        <v>1773.5833333333333</v>
      </c>
    </row>
    <row r="103" spans="1:14" x14ac:dyDescent="0.25">
      <c r="A103" s="11" t="str">
        <f t="shared" si="29"/>
        <v xml:space="preserve">Idade Média </v>
      </c>
      <c r="B103" s="67">
        <f>'[14]COMPOSIÇÃO GEVIS'!$K$76</f>
        <v>7.7083563918096294</v>
      </c>
      <c r="C103" s="68">
        <f>'[15]COMPOSIÇÃO GEVIS'!$K$76</f>
        <v>7.5647840531561465</v>
      </c>
      <c r="D103" s="68">
        <v>7.52</v>
      </c>
      <c r="E103" s="68">
        <v>7.54</v>
      </c>
      <c r="F103" s="68">
        <v>7.5</v>
      </c>
      <c r="G103" s="68">
        <v>7.44</v>
      </c>
      <c r="H103" s="68">
        <v>7.21</v>
      </c>
      <c r="I103" s="68">
        <v>6.93</v>
      </c>
      <c r="J103" s="68">
        <v>6.74</v>
      </c>
      <c r="K103" s="68">
        <v>6.59</v>
      </c>
      <c r="L103" s="68">
        <f>[17]GEVIS!$J$119</f>
        <v>6.4336188436830835</v>
      </c>
      <c r="M103" s="69">
        <v>6.32</v>
      </c>
      <c r="N103" s="31">
        <f t="shared" si="38"/>
        <v>7.1247299407207381</v>
      </c>
    </row>
    <row r="104" spans="1:14" x14ac:dyDescent="0.25">
      <c r="A104" s="26" t="str">
        <f t="shared" si="29"/>
        <v>Frota Operante</v>
      </c>
      <c r="B104" s="27">
        <f t="shared" ref="B104:M105" si="39">B20+B62</f>
        <v>1622</v>
      </c>
      <c r="C104" s="27">
        <f t="shared" si="39"/>
        <v>1622</v>
      </c>
      <c r="D104" s="27">
        <f t="shared" si="39"/>
        <v>1622</v>
      </c>
      <c r="E104" s="27">
        <f t="shared" si="39"/>
        <v>1622</v>
      </c>
      <c r="F104" s="27">
        <f t="shared" si="39"/>
        <v>1622</v>
      </c>
      <c r="G104" s="27">
        <f t="shared" si="39"/>
        <v>1622</v>
      </c>
      <c r="H104" s="27">
        <f t="shared" si="39"/>
        <v>1622</v>
      </c>
      <c r="I104" s="27">
        <f t="shared" si="39"/>
        <v>1622</v>
      </c>
      <c r="J104" s="27">
        <f t="shared" si="39"/>
        <v>1602</v>
      </c>
      <c r="K104" s="27">
        <f t="shared" si="39"/>
        <v>1588</v>
      </c>
      <c r="L104" s="27">
        <f t="shared" si="39"/>
        <v>1613</v>
      </c>
      <c r="M104" s="27">
        <f t="shared" si="39"/>
        <v>1613</v>
      </c>
      <c r="N104" s="28">
        <f t="shared" si="38"/>
        <v>1616</v>
      </c>
    </row>
    <row r="105" spans="1:14" x14ac:dyDescent="0.25">
      <c r="A105" s="11" t="str">
        <f t="shared" si="29"/>
        <v xml:space="preserve">Convencional   </v>
      </c>
      <c r="B105" s="27">
        <f t="shared" si="39"/>
        <v>1669</v>
      </c>
      <c r="C105" s="27">
        <f t="shared" si="39"/>
        <v>1669</v>
      </c>
      <c r="D105" s="27">
        <f t="shared" si="39"/>
        <v>1670</v>
      </c>
      <c r="E105" s="27">
        <f t="shared" si="39"/>
        <v>1666</v>
      </c>
      <c r="F105" s="27">
        <f t="shared" si="39"/>
        <v>1664</v>
      </c>
      <c r="G105" s="27">
        <f t="shared" si="39"/>
        <v>1655</v>
      </c>
      <c r="H105" s="27">
        <f t="shared" si="39"/>
        <v>1667</v>
      </c>
      <c r="I105" s="27">
        <f t="shared" si="39"/>
        <v>1667</v>
      </c>
      <c r="J105" s="27">
        <f t="shared" si="39"/>
        <v>1645</v>
      </c>
      <c r="K105" s="27">
        <f t="shared" si="39"/>
        <v>1630</v>
      </c>
      <c r="L105" s="27">
        <f t="shared" si="39"/>
        <v>1630</v>
      </c>
      <c r="M105" s="27">
        <f t="shared" si="39"/>
        <v>1629</v>
      </c>
      <c r="N105" s="29">
        <f t="shared" si="38"/>
        <v>1655.0833333333333</v>
      </c>
    </row>
    <row r="106" spans="1:14" x14ac:dyDescent="0.25">
      <c r="A106" s="11" t="str">
        <f t="shared" si="29"/>
        <v xml:space="preserve">Idade Média </v>
      </c>
      <c r="B106" s="25">
        <v>7.68</v>
      </c>
      <c r="C106" s="25">
        <v>7.53</v>
      </c>
      <c r="D106" s="25">
        <v>7.49</v>
      </c>
      <c r="E106" s="25">
        <v>7.45</v>
      </c>
      <c r="F106" s="25">
        <v>7.44</v>
      </c>
      <c r="G106" s="25">
        <v>7.38</v>
      </c>
      <c r="H106" s="25">
        <v>6.98</v>
      </c>
      <c r="I106" s="25">
        <v>6.53</v>
      </c>
      <c r="J106" s="25">
        <v>6.16</v>
      </c>
      <c r="K106" s="25">
        <v>6.1</v>
      </c>
      <c r="L106" s="25">
        <v>6.12</v>
      </c>
      <c r="M106" s="25">
        <v>6.13</v>
      </c>
      <c r="N106" s="13">
        <f t="shared" si="38"/>
        <v>6.9158333333333326</v>
      </c>
    </row>
    <row r="107" spans="1:14" x14ac:dyDescent="0.25">
      <c r="A107" s="11" t="str">
        <f t="shared" si="29"/>
        <v>Articulado</v>
      </c>
      <c r="B107" s="27">
        <f t="shared" ref="B107:M107" si="40">B23+B65</f>
        <v>74</v>
      </c>
      <c r="C107" s="27">
        <f t="shared" si="40"/>
        <v>74</v>
      </c>
      <c r="D107" s="27">
        <f t="shared" si="40"/>
        <v>72</v>
      </c>
      <c r="E107" s="27">
        <f t="shared" si="40"/>
        <v>70</v>
      </c>
      <c r="F107" s="27">
        <f t="shared" si="40"/>
        <v>72</v>
      </c>
      <c r="G107" s="27">
        <f t="shared" si="40"/>
        <v>74</v>
      </c>
      <c r="H107" s="27">
        <f t="shared" si="40"/>
        <v>74</v>
      </c>
      <c r="I107" s="27">
        <f t="shared" si="40"/>
        <v>72</v>
      </c>
      <c r="J107" s="27">
        <f t="shared" si="40"/>
        <v>74</v>
      </c>
      <c r="K107" s="27">
        <f t="shared" si="40"/>
        <v>74</v>
      </c>
      <c r="L107" s="27">
        <f t="shared" si="40"/>
        <v>73</v>
      </c>
      <c r="M107" s="27">
        <f t="shared" si="40"/>
        <v>74</v>
      </c>
      <c r="N107" s="30">
        <f t="shared" si="38"/>
        <v>73.083333333333329</v>
      </c>
    </row>
    <row r="108" spans="1:14" x14ac:dyDescent="0.25">
      <c r="A108" s="11" t="str">
        <f t="shared" si="29"/>
        <v xml:space="preserve">Idade Média </v>
      </c>
      <c r="B108" s="25">
        <v>9.85</v>
      </c>
      <c r="C108" s="25">
        <v>9.7799999999999994</v>
      </c>
      <c r="D108" s="25">
        <v>9.67</v>
      </c>
      <c r="E108" s="25">
        <v>9.49</v>
      </c>
      <c r="F108" s="25">
        <v>9.2200000000000006</v>
      </c>
      <c r="G108" s="25">
        <v>8.9700000000000006</v>
      </c>
      <c r="H108" s="25">
        <v>8.76</v>
      </c>
      <c r="I108" s="25">
        <v>8.85</v>
      </c>
      <c r="J108" s="25">
        <v>8.91</v>
      </c>
      <c r="K108" s="25">
        <v>8.73</v>
      </c>
      <c r="L108" s="25">
        <v>8.86</v>
      </c>
      <c r="M108" s="25">
        <v>8.9600000000000009</v>
      </c>
      <c r="N108" s="13">
        <f t="shared" si="38"/>
        <v>9.1708333333333325</v>
      </c>
    </row>
    <row r="109" spans="1:14" x14ac:dyDescent="0.25">
      <c r="A109" s="11" t="str">
        <f t="shared" si="29"/>
        <v>Micro</v>
      </c>
      <c r="B109" s="27">
        <f t="shared" ref="B109:M109" si="41">B25+B67</f>
        <v>39</v>
      </c>
      <c r="C109" s="27">
        <f t="shared" si="41"/>
        <v>39</v>
      </c>
      <c r="D109" s="27">
        <f t="shared" si="41"/>
        <v>39</v>
      </c>
      <c r="E109" s="27">
        <f t="shared" si="41"/>
        <v>39</v>
      </c>
      <c r="F109" s="27">
        <f t="shared" si="41"/>
        <v>39</v>
      </c>
      <c r="G109" s="27">
        <f t="shared" si="41"/>
        <v>39</v>
      </c>
      <c r="H109" s="27">
        <f t="shared" si="41"/>
        <v>39</v>
      </c>
      <c r="I109" s="27">
        <f t="shared" si="41"/>
        <v>39</v>
      </c>
      <c r="J109" s="27">
        <f t="shared" si="41"/>
        <v>39</v>
      </c>
      <c r="K109" s="27">
        <f t="shared" si="41"/>
        <v>39</v>
      </c>
      <c r="L109" s="27">
        <f t="shared" si="41"/>
        <v>39</v>
      </c>
      <c r="M109" s="27">
        <f t="shared" si="41"/>
        <v>39</v>
      </c>
      <c r="N109" s="30">
        <f t="shared" si="38"/>
        <v>39</v>
      </c>
    </row>
    <row r="110" spans="1:14" x14ac:dyDescent="0.25">
      <c r="A110" s="11" t="str">
        <f t="shared" si="29"/>
        <v xml:space="preserve">Idade Média </v>
      </c>
      <c r="B110" s="25">
        <v>5.25</v>
      </c>
      <c r="C110" s="25">
        <v>5.32</v>
      </c>
      <c r="D110" s="25">
        <v>5.32</v>
      </c>
      <c r="E110" s="25">
        <v>4.54</v>
      </c>
      <c r="F110" s="25">
        <v>4.54</v>
      </c>
      <c r="G110" s="25">
        <v>4.54</v>
      </c>
      <c r="H110" s="25">
        <v>4.18</v>
      </c>
      <c r="I110" s="25">
        <v>4.18</v>
      </c>
      <c r="J110" s="25">
        <v>4.18</v>
      </c>
      <c r="K110" s="25">
        <v>3.85</v>
      </c>
      <c r="L110" s="25">
        <v>3.88</v>
      </c>
      <c r="M110" s="25">
        <v>3.85</v>
      </c>
      <c r="N110" s="31">
        <f t="shared" si="38"/>
        <v>4.4691666666666672</v>
      </c>
    </row>
    <row r="111" spans="1:14" x14ac:dyDescent="0.25">
      <c r="A111" s="11" t="str">
        <f t="shared" si="29"/>
        <v>Padron Elétrico</v>
      </c>
      <c r="B111" s="27">
        <f t="shared" ref="B111:M111" si="42">B27+B69</f>
        <v>1</v>
      </c>
      <c r="C111" s="27">
        <f t="shared" si="42"/>
        <v>2</v>
      </c>
      <c r="D111" s="27">
        <f t="shared" si="42"/>
        <v>1</v>
      </c>
      <c r="E111" s="27">
        <f t="shared" si="42"/>
        <v>3</v>
      </c>
      <c r="F111" s="27">
        <f t="shared" si="42"/>
        <v>3</v>
      </c>
      <c r="G111" s="27">
        <f t="shared" si="42"/>
        <v>3</v>
      </c>
      <c r="H111" s="27">
        <f t="shared" si="42"/>
        <v>3</v>
      </c>
      <c r="I111" s="27">
        <f t="shared" si="42"/>
        <v>2</v>
      </c>
      <c r="J111" s="27">
        <f t="shared" si="42"/>
        <v>2</v>
      </c>
      <c r="K111" s="27">
        <f t="shared" si="42"/>
        <v>2</v>
      </c>
      <c r="L111" s="27">
        <f t="shared" si="42"/>
        <v>2</v>
      </c>
      <c r="M111" s="27">
        <f t="shared" si="42"/>
        <v>3</v>
      </c>
      <c r="N111" s="30">
        <f t="shared" si="38"/>
        <v>2.25</v>
      </c>
    </row>
    <row r="112" spans="1:14" x14ac:dyDescent="0.25">
      <c r="A112" s="11" t="str">
        <f t="shared" si="29"/>
        <v xml:space="preserve">Idade Média </v>
      </c>
      <c r="B112" s="25">
        <v>1</v>
      </c>
      <c r="C112" s="25">
        <v>1</v>
      </c>
      <c r="D112" s="25">
        <v>1</v>
      </c>
      <c r="E112" s="25">
        <v>1</v>
      </c>
      <c r="F112" s="25">
        <v>1</v>
      </c>
      <c r="G112" s="25">
        <v>1</v>
      </c>
      <c r="H112" s="25">
        <v>1</v>
      </c>
      <c r="I112" s="25">
        <v>1</v>
      </c>
      <c r="J112" s="25">
        <v>1</v>
      </c>
      <c r="K112" s="25">
        <v>1</v>
      </c>
      <c r="L112" s="25">
        <v>1</v>
      </c>
      <c r="M112" s="25">
        <v>1</v>
      </c>
      <c r="N112" s="31">
        <f t="shared" si="38"/>
        <v>1</v>
      </c>
    </row>
    <row r="113" spans="1:14" x14ac:dyDescent="0.25">
      <c r="A113" s="11" t="str">
        <f t="shared" si="29"/>
        <v>Micro Transcol +Acessível</v>
      </c>
      <c r="B113" s="27">
        <f t="shared" ref="B113:M113" si="43">B29+B71</f>
        <v>0</v>
      </c>
      <c r="C113" s="27">
        <f t="shared" si="43"/>
        <v>0</v>
      </c>
      <c r="D113" s="27">
        <f t="shared" si="43"/>
        <v>0</v>
      </c>
      <c r="E113" s="27">
        <f t="shared" si="43"/>
        <v>0</v>
      </c>
      <c r="F113" s="27">
        <f t="shared" si="43"/>
        <v>0</v>
      </c>
      <c r="G113" s="27">
        <f t="shared" si="43"/>
        <v>0</v>
      </c>
      <c r="H113" s="27">
        <f t="shared" si="43"/>
        <v>0</v>
      </c>
      <c r="I113" s="27">
        <f t="shared" si="43"/>
        <v>0</v>
      </c>
      <c r="J113" s="27">
        <f t="shared" si="43"/>
        <v>0</v>
      </c>
      <c r="K113" s="27">
        <f t="shared" si="43"/>
        <v>0</v>
      </c>
      <c r="L113" s="27">
        <f t="shared" si="43"/>
        <v>25</v>
      </c>
      <c r="M113" s="27">
        <f t="shared" si="43"/>
        <v>25</v>
      </c>
      <c r="N113" s="30">
        <f t="shared" si="38"/>
        <v>4.166666666666667</v>
      </c>
    </row>
    <row r="114" spans="1:14" x14ac:dyDescent="0.25">
      <c r="A114" s="11" t="str">
        <f t="shared" si="29"/>
        <v xml:space="preserve">Idade Média </v>
      </c>
      <c r="B114" s="70">
        <v>0</v>
      </c>
      <c r="C114" s="71">
        <v>0</v>
      </c>
      <c r="D114" s="71">
        <v>0</v>
      </c>
      <c r="E114" s="71">
        <v>0</v>
      </c>
      <c r="F114" s="71">
        <v>0</v>
      </c>
      <c r="G114" s="71">
        <v>0</v>
      </c>
      <c r="H114" s="71">
        <v>0</v>
      </c>
      <c r="I114" s="71">
        <v>0</v>
      </c>
      <c r="J114" s="71">
        <v>0</v>
      </c>
      <c r="K114" s="71">
        <v>0</v>
      </c>
      <c r="L114" s="71">
        <v>3.88</v>
      </c>
      <c r="M114" s="72">
        <v>3.88</v>
      </c>
      <c r="N114" s="31">
        <f t="shared" si="38"/>
        <v>0.64666666666666661</v>
      </c>
    </row>
    <row r="115" spans="1:14" x14ac:dyDescent="0.25">
      <c r="A115" s="11" t="str">
        <f t="shared" si="29"/>
        <v>Demanda Total</v>
      </c>
      <c r="B115" s="73">
        <f t="shared" ref="B115:M124" si="44">B31+B73</f>
        <v>13571275</v>
      </c>
      <c r="C115" s="73">
        <f t="shared" si="44"/>
        <v>13520883</v>
      </c>
      <c r="D115" s="73">
        <f t="shared" si="44"/>
        <v>14985840</v>
      </c>
      <c r="E115" s="73">
        <f t="shared" si="44"/>
        <v>15263858</v>
      </c>
      <c r="F115" s="73">
        <f t="shared" si="44"/>
        <v>14971636</v>
      </c>
      <c r="G115" s="73">
        <f t="shared" si="44"/>
        <v>14589152</v>
      </c>
      <c r="H115" s="73">
        <f t="shared" si="44"/>
        <v>15123116</v>
      </c>
      <c r="I115" s="73">
        <f t="shared" si="44"/>
        <v>15659984</v>
      </c>
      <c r="J115" s="73">
        <f t="shared" si="44"/>
        <v>14862561</v>
      </c>
      <c r="K115" s="73">
        <f t="shared" si="44"/>
        <v>15626167</v>
      </c>
      <c r="L115" s="73">
        <f t="shared" si="44"/>
        <v>14379822</v>
      </c>
      <c r="M115" s="73">
        <f t="shared" si="44"/>
        <v>13611422</v>
      </c>
      <c r="N115" s="30">
        <f t="shared" ref="N115:N124" si="45">SUM(B115:M115)</f>
        <v>176165716</v>
      </c>
    </row>
    <row r="116" spans="1:14" x14ac:dyDescent="0.25">
      <c r="A116" s="11" t="str">
        <f t="shared" si="29"/>
        <v>Vale Transporte</v>
      </c>
      <c r="B116" s="32">
        <f t="shared" si="44"/>
        <v>6739023</v>
      </c>
      <c r="C116" s="33">
        <f t="shared" si="44"/>
        <v>6470001</v>
      </c>
      <c r="D116" s="33">
        <f t="shared" si="44"/>
        <v>6902436</v>
      </c>
      <c r="E116" s="33">
        <f t="shared" si="44"/>
        <v>7042205</v>
      </c>
      <c r="F116" s="33">
        <f t="shared" si="44"/>
        <v>7022459</v>
      </c>
      <c r="G116" s="33">
        <f t="shared" si="44"/>
        <v>6802965</v>
      </c>
      <c r="H116" s="33">
        <f t="shared" si="44"/>
        <v>7323482</v>
      </c>
      <c r="I116" s="33">
        <f t="shared" si="44"/>
        <v>7362839</v>
      </c>
      <c r="J116" s="33">
        <f t="shared" si="44"/>
        <v>6967631</v>
      </c>
      <c r="K116" s="33">
        <f t="shared" si="44"/>
        <v>7432031</v>
      </c>
      <c r="L116" s="33">
        <f t="shared" si="44"/>
        <v>6703051</v>
      </c>
      <c r="M116" s="74">
        <f t="shared" si="44"/>
        <v>6487143</v>
      </c>
      <c r="N116" s="30">
        <f t="shared" si="45"/>
        <v>83255266</v>
      </c>
    </row>
    <row r="117" spans="1:14" x14ac:dyDescent="0.25">
      <c r="A117" s="36" t="str">
        <f t="shared" si="29"/>
        <v>Cartão Cidadão</v>
      </c>
      <c r="B117" s="32">
        <f t="shared" si="44"/>
        <v>5379024</v>
      </c>
      <c r="C117" s="33">
        <f t="shared" si="44"/>
        <v>5395561</v>
      </c>
      <c r="D117" s="33">
        <f t="shared" si="44"/>
        <v>5687338</v>
      </c>
      <c r="E117" s="33">
        <f t="shared" si="44"/>
        <v>5501343</v>
      </c>
      <c r="F117" s="33">
        <f t="shared" si="44"/>
        <v>5310230</v>
      </c>
      <c r="G117" s="33">
        <f t="shared" si="44"/>
        <v>5135290</v>
      </c>
      <c r="H117" s="33">
        <f t="shared" si="44"/>
        <v>5473287</v>
      </c>
      <c r="I117" s="33">
        <f t="shared" si="44"/>
        <v>5480436</v>
      </c>
      <c r="J117" s="33">
        <f t="shared" si="44"/>
        <v>5187436</v>
      </c>
      <c r="K117" s="33">
        <f t="shared" si="44"/>
        <v>5411504</v>
      </c>
      <c r="L117" s="33">
        <f t="shared" si="44"/>
        <v>5066593</v>
      </c>
      <c r="M117" s="74">
        <f t="shared" si="44"/>
        <v>5123222</v>
      </c>
      <c r="N117" s="30">
        <f t="shared" si="45"/>
        <v>64151264</v>
      </c>
    </row>
    <row r="118" spans="1:14" x14ac:dyDescent="0.25">
      <c r="A118" s="36" t="str">
        <f t="shared" si="29"/>
        <v>Idoso Gratuito</v>
      </c>
      <c r="B118" s="32">
        <f t="shared" si="44"/>
        <v>1032268</v>
      </c>
      <c r="C118" s="33">
        <f t="shared" si="44"/>
        <v>979349</v>
      </c>
      <c r="D118" s="33">
        <f t="shared" si="44"/>
        <v>1080520</v>
      </c>
      <c r="E118" s="33">
        <f t="shared" si="44"/>
        <v>1115901</v>
      </c>
      <c r="F118" s="33">
        <f t="shared" si="44"/>
        <v>1124697</v>
      </c>
      <c r="G118" s="33">
        <f t="shared" si="44"/>
        <v>1095532</v>
      </c>
      <c r="H118" s="33">
        <f t="shared" si="44"/>
        <v>1162503</v>
      </c>
      <c r="I118" s="33">
        <f t="shared" si="44"/>
        <v>1164261</v>
      </c>
      <c r="J118" s="33">
        <f t="shared" si="44"/>
        <v>1137880</v>
      </c>
      <c r="K118" s="33">
        <f t="shared" si="44"/>
        <v>1172883</v>
      </c>
      <c r="L118" s="33">
        <f t="shared" si="44"/>
        <v>1118082</v>
      </c>
      <c r="M118" s="74">
        <f t="shared" si="44"/>
        <v>1119088</v>
      </c>
      <c r="N118" s="30">
        <f t="shared" si="45"/>
        <v>13302964</v>
      </c>
    </row>
    <row r="119" spans="1:14" x14ac:dyDescent="0.25">
      <c r="A119" s="11" t="str">
        <f t="shared" si="29"/>
        <v>Passe Escolar (50%)</v>
      </c>
      <c r="B119" s="32">
        <f t="shared" si="44"/>
        <v>148175</v>
      </c>
      <c r="C119" s="33">
        <f t="shared" si="44"/>
        <v>226331</v>
      </c>
      <c r="D119" s="33">
        <f t="shared" si="44"/>
        <v>540363</v>
      </c>
      <c r="E119" s="33">
        <f t="shared" si="44"/>
        <v>706967</v>
      </c>
      <c r="F119" s="33">
        <f t="shared" si="44"/>
        <v>674735</v>
      </c>
      <c r="G119" s="33">
        <f t="shared" si="44"/>
        <v>679454</v>
      </c>
      <c r="H119" s="33">
        <f t="shared" si="44"/>
        <v>491812</v>
      </c>
      <c r="I119" s="33">
        <f t="shared" si="44"/>
        <v>711007</v>
      </c>
      <c r="J119" s="33">
        <f t="shared" si="44"/>
        <v>712746</v>
      </c>
      <c r="K119" s="33">
        <f t="shared" si="44"/>
        <v>703481</v>
      </c>
      <c r="L119" s="33">
        <f t="shared" si="44"/>
        <v>680426</v>
      </c>
      <c r="M119" s="74">
        <f t="shared" si="44"/>
        <v>402289</v>
      </c>
      <c r="N119" s="39">
        <f t="shared" si="45"/>
        <v>6677786</v>
      </c>
    </row>
    <row r="120" spans="1:14" x14ac:dyDescent="0.25">
      <c r="A120" s="36" t="str">
        <f t="shared" si="29"/>
        <v>Escolar Gratuito (100%)</v>
      </c>
      <c r="B120" s="32">
        <f t="shared" si="44"/>
        <v>10</v>
      </c>
      <c r="C120" s="33">
        <f t="shared" si="44"/>
        <v>170697</v>
      </c>
      <c r="D120" s="33">
        <f t="shared" si="44"/>
        <v>459246</v>
      </c>
      <c r="E120" s="33">
        <f t="shared" si="44"/>
        <v>569742</v>
      </c>
      <c r="F120" s="33">
        <f t="shared" si="44"/>
        <v>515133</v>
      </c>
      <c r="G120" s="33">
        <f t="shared" si="44"/>
        <v>558075</v>
      </c>
      <c r="H120" s="33">
        <f t="shared" si="44"/>
        <v>341057</v>
      </c>
      <c r="I120" s="33">
        <f t="shared" si="44"/>
        <v>602232</v>
      </c>
      <c r="J120" s="33">
        <f t="shared" si="44"/>
        <v>529419</v>
      </c>
      <c r="K120" s="33">
        <f t="shared" si="44"/>
        <v>569724</v>
      </c>
      <c r="L120" s="33">
        <f t="shared" si="44"/>
        <v>490173</v>
      </c>
      <c r="M120" s="74">
        <f t="shared" si="44"/>
        <v>173651</v>
      </c>
      <c r="N120" s="39">
        <f t="shared" si="45"/>
        <v>4979159</v>
      </c>
    </row>
    <row r="121" spans="1:14" x14ac:dyDescent="0.25">
      <c r="A121" s="36" t="str">
        <f t="shared" si="29"/>
        <v>Deficiente Gratuito (100%)</v>
      </c>
      <c r="B121" s="32">
        <f t="shared" si="44"/>
        <v>201614</v>
      </c>
      <c r="C121" s="33">
        <f t="shared" si="44"/>
        <v>208215</v>
      </c>
      <c r="D121" s="33">
        <f t="shared" si="44"/>
        <v>237897</v>
      </c>
      <c r="E121" s="33">
        <f t="shared" si="44"/>
        <v>244509</v>
      </c>
      <c r="F121" s="33">
        <f t="shared" si="44"/>
        <v>240753</v>
      </c>
      <c r="G121" s="33">
        <f t="shared" si="44"/>
        <v>236493</v>
      </c>
      <c r="H121" s="33">
        <f t="shared" si="44"/>
        <v>241171</v>
      </c>
      <c r="I121" s="33">
        <f t="shared" si="44"/>
        <v>247411</v>
      </c>
      <c r="J121" s="33">
        <f t="shared" si="44"/>
        <v>239303</v>
      </c>
      <c r="K121" s="33">
        <f t="shared" si="44"/>
        <v>242234</v>
      </c>
      <c r="L121" s="33">
        <f t="shared" si="44"/>
        <v>236665</v>
      </c>
      <c r="M121" s="74">
        <f t="shared" si="44"/>
        <v>222394</v>
      </c>
      <c r="N121" s="39">
        <f t="shared" si="45"/>
        <v>2798659</v>
      </c>
    </row>
    <row r="122" spans="1:14" x14ac:dyDescent="0.25">
      <c r="A122" s="11" t="str">
        <f t="shared" si="29"/>
        <v>Integrado</v>
      </c>
      <c r="B122" s="32">
        <f t="shared" si="44"/>
        <v>68318</v>
      </c>
      <c r="C122" s="33">
        <f t="shared" si="44"/>
        <v>68136</v>
      </c>
      <c r="D122" s="33">
        <f t="shared" si="44"/>
        <v>75432</v>
      </c>
      <c r="E122" s="33">
        <f t="shared" si="44"/>
        <v>80233</v>
      </c>
      <c r="F122" s="33">
        <f t="shared" si="44"/>
        <v>80850</v>
      </c>
      <c r="G122" s="33">
        <f t="shared" si="44"/>
        <v>78762</v>
      </c>
      <c r="H122" s="33">
        <f t="shared" si="44"/>
        <v>86993</v>
      </c>
      <c r="I122" s="33">
        <f t="shared" si="44"/>
        <v>89094</v>
      </c>
      <c r="J122" s="33">
        <f t="shared" si="44"/>
        <v>85215</v>
      </c>
      <c r="K122" s="33">
        <f t="shared" si="44"/>
        <v>91200</v>
      </c>
      <c r="L122" s="33">
        <f t="shared" si="44"/>
        <v>82135</v>
      </c>
      <c r="M122" s="74">
        <f t="shared" si="44"/>
        <v>80964</v>
      </c>
      <c r="N122" s="39">
        <f t="shared" si="45"/>
        <v>967332</v>
      </c>
    </row>
    <row r="123" spans="1:14" x14ac:dyDescent="0.25">
      <c r="A123" s="40" t="str">
        <f t="shared" si="29"/>
        <v>Passe Livre (Gratuito)</v>
      </c>
      <c r="B123" s="75">
        <f t="shared" si="44"/>
        <v>2843</v>
      </c>
      <c r="C123" s="76">
        <f t="shared" si="44"/>
        <v>2494</v>
      </c>
      <c r="D123" s="76">
        <f t="shared" si="44"/>
        <v>2422</v>
      </c>
      <c r="E123" s="76">
        <f t="shared" si="44"/>
        <v>2695</v>
      </c>
      <c r="F123" s="76">
        <f t="shared" si="44"/>
        <v>2533</v>
      </c>
      <c r="G123" s="76">
        <f t="shared" si="44"/>
        <v>2359</v>
      </c>
      <c r="H123" s="76">
        <f t="shared" si="44"/>
        <v>2674</v>
      </c>
      <c r="I123" s="76">
        <f t="shared" si="44"/>
        <v>2421</v>
      </c>
      <c r="J123" s="76">
        <f t="shared" si="44"/>
        <v>2649</v>
      </c>
      <c r="K123" s="76">
        <f t="shared" si="44"/>
        <v>2860</v>
      </c>
      <c r="L123" s="76">
        <f t="shared" si="44"/>
        <v>2398</v>
      </c>
      <c r="M123" s="77">
        <f t="shared" si="44"/>
        <v>2501</v>
      </c>
      <c r="N123" s="39">
        <f t="shared" si="45"/>
        <v>30849</v>
      </c>
    </row>
    <row r="124" spans="1:14" ht="15.75" thickBot="1" x14ac:dyDescent="0.3">
      <c r="A124" s="44" t="str">
        <f t="shared" si="29"/>
        <v xml:space="preserve">Vale Especial </v>
      </c>
      <c r="B124" s="78">
        <f t="shared" si="44"/>
        <v>0</v>
      </c>
      <c r="C124" s="79">
        <f t="shared" si="44"/>
        <v>99</v>
      </c>
      <c r="D124" s="79">
        <f t="shared" si="44"/>
        <v>186</v>
      </c>
      <c r="E124" s="79">
        <f t="shared" si="44"/>
        <v>263</v>
      </c>
      <c r="F124" s="79">
        <f t="shared" si="44"/>
        <v>246</v>
      </c>
      <c r="G124" s="79">
        <f t="shared" si="44"/>
        <v>222</v>
      </c>
      <c r="H124" s="79">
        <f t="shared" si="44"/>
        <v>137</v>
      </c>
      <c r="I124" s="79">
        <f t="shared" si="44"/>
        <v>283</v>
      </c>
      <c r="J124" s="79">
        <f t="shared" si="44"/>
        <v>282</v>
      </c>
      <c r="K124" s="79">
        <f t="shared" si="44"/>
        <v>250</v>
      </c>
      <c r="L124" s="79">
        <f t="shared" si="44"/>
        <v>299</v>
      </c>
      <c r="M124" s="80">
        <f t="shared" si="44"/>
        <v>170</v>
      </c>
      <c r="N124" s="47">
        <f t="shared" si="45"/>
        <v>2437</v>
      </c>
    </row>
  </sheetData>
  <mergeCells count="3">
    <mergeCell ref="A2:M2"/>
    <mergeCell ref="A44:M44"/>
    <mergeCell ref="A86:M8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Elson Augusto L Souza</dc:creator>
  <cp:lastModifiedBy>Wesley Peixoto Santos</cp:lastModifiedBy>
  <dcterms:created xsi:type="dcterms:W3CDTF">2025-12-11T12:46:41Z</dcterms:created>
  <dcterms:modified xsi:type="dcterms:W3CDTF">2025-12-11T12:55:07Z</dcterms:modified>
</cp:coreProperties>
</file>